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lee/Desktop/"/>
    </mc:Choice>
  </mc:AlternateContent>
  <xr:revisionPtr revIDLastSave="0" documentId="13_ncr:1_{62FA6672-8C17-B848-AB2D-39329354DB20}" xr6:coauthVersionLast="47" xr6:coauthVersionMax="47" xr10:uidLastSave="{00000000-0000-0000-0000-000000000000}"/>
  <bookViews>
    <workbookView xWindow="700" yWindow="500" windowWidth="28040" windowHeight="15740" activeTab="3" xr2:uid="{57877F84-F2BC-9F48-AB3E-6F27E164A1BF}"/>
  </bookViews>
  <sheets>
    <sheet name="Shaft Yielding" sheetId="1" r:id="rId1"/>
    <sheet name="Rectangular Rail Yielding" sheetId="3" r:id="rId2"/>
    <sheet name="Shaft Bearing Loading" sheetId="2" r:id="rId3"/>
    <sheet name="Motor and Lead Screw" sheetId="4" r:id="rId4"/>
  </sheets>
  <definedNames>
    <definedName name="alpha">'Motor and Lead Screw'!$C$11</definedName>
    <definedName name="Beta">'Motor and Lead Screw'!$B$13</definedName>
    <definedName name="do">'Motor and Lead Screw'!$B$34</definedName>
    <definedName name="dr">'Motor and Lead Screw'!$C$33</definedName>
    <definedName name="dscrew">'Motor and Lead Screw'!$B$9</definedName>
    <definedName name="dthrust">'Motor and Lead Screw'!$B$10</definedName>
    <definedName name="et">'Motor and Lead Screw'!$B$19</definedName>
    <definedName name="etagearbox">'Motor and Lead Screw'!$B$28</definedName>
    <definedName name="etathrust">'Motor and Lead Screw'!$B$16</definedName>
    <definedName name="gamthrust">'Motor and Lead Screw'!$B$15</definedName>
    <definedName name="gamtotal">'Motor and Lead Screw'!$B$17</definedName>
    <definedName name="Lead">'Motor and Lead Screw'!$B$6</definedName>
    <definedName name="mu">'Motor and Lead Screw'!$B$7</definedName>
    <definedName name="muthrust">'Motor and Lead Screw'!$B$8</definedName>
    <definedName name="n">'Motor and Lead Screw'!$B$24</definedName>
    <definedName name="s">'Motor and Lead Screw'!$B$25</definedName>
    <definedName name="scf">'Motor and Lead Screw'!$B$12</definedName>
    <definedName name="thrust">'Motor and Lead Screw'!$B$5</definedName>
    <definedName name="tt">'Motor and Lead Screw'!$B$26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33" i="4"/>
  <c r="B38" i="4"/>
  <c r="B34" i="4"/>
  <c r="B37" i="4"/>
  <c r="C32" i="4"/>
  <c r="C11" i="4"/>
  <c r="B13" i="4"/>
  <c r="B19" i="4"/>
  <c r="B14" i="4"/>
  <c r="B15" i="4"/>
  <c r="B17" i="4"/>
  <c r="B29" i="4"/>
  <c r="B27" i="4"/>
  <c r="C27" i="4"/>
  <c r="B30" i="4"/>
  <c r="B22" i="4"/>
  <c r="B21" i="4"/>
  <c r="B23" i="4"/>
  <c r="B16" i="4"/>
  <c r="B20" i="4"/>
  <c r="B18" i="4"/>
  <c r="D15" i="4"/>
  <c r="E12" i="4"/>
  <c r="B16" i="3"/>
  <c r="B15" i="3"/>
  <c r="B14" i="3"/>
  <c r="B16" i="1"/>
  <c r="B17" i="3"/>
  <c r="B6" i="2"/>
  <c r="B16" i="2"/>
  <c r="B17" i="2"/>
  <c r="B18" i="2"/>
  <c r="B13" i="2"/>
  <c r="B4" i="2"/>
  <c r="B8" i="1"/>
  <c r="B10" i="1"/>
  <c r="B11" i="1"/>
  <c r="B17" i="1"/>
  <c r="B18" i="1"/>
  <c r="B19" i="2"/>
</calcChain>
</file>

<file path=xl/sharedStrings.xml><?xml version="1.0" encoding="utf-8"?>
<sst xmlns="http://schemas.openxmlformats.org/spreadsheetml/2006/main" count="88" uniqueCount="77">
  <si>
    <t>Assembly</t>
  </si>
  <si>
    <t>Shafts</t>
  </si>
  <si>
    <t>Yield</t>
  </si>
  <si>
    <t>Material yield strength (MPa)</t>
  </si>
  <si>
    <r>
      <t xml:space="preserve">Enter numbers in </t>
    </r>
    <r>
      <rPr>
        <b/>
        <sz val="12"/>
        <color theme="1"/>
        <rFont val="Aptos Narrow (Body)"/>
      </rPr>
      <t>BLACK</t>
    </r>
    <r>
      <rPr>
        <sz val="12"/>
        <color theme="1"/>
        <rFont val="Aptos Narrow"/>
        <family val="2"/>
        <scheme val="minor"/>
      </rPr>
      <t>, outputs in</t>
    </r>
    <r>
      <rPr>
        <b/>
        <sz val="12"/>
        <color rgb="FFC00000"/>
        <rFont val="Aptos Narrow (Body)"/>
      </rPr>
      <t xml:space="preserve"> RED</t>
    </r>
  </si>
  <si>
    <t>Applied horizontal force (N)</t>
  </si>
  <si>
    <t>Will the shaft break?</t>
  </si>
  <si>
    <t>Max stress on a single shaft (MPa)</t>
  </si>
  <si>
    <t>Foot plate to bearing 1</t>
  </si>
  <si>
    <t xml:space="preserve">Bearing 1 to bearing 2 </t>
  </si>
  <si>
    <t>Distances (m)</t>
  </si>
  <si>
    <t>Bearing 2 to motor</t>
  </si>
  <si>
    <t>Forces</t>
  </si>
  <si>
    <t>Motor weight (kg)</t>
  </si>
  <si>
    <t>Moment from footplate (Nm)</t>
  </si>
  <si>
    <t>Force Calculation on Bearings</t>
  </si>
  <si>
    <t>Force from motor (N)</t>
  </si>
  <si>
    <t>Diameter (mm)</t>
  </si>
  <si>
    <t>Bending moment on system (Nmm)</t>
  </si>
  <si>
    <t>Vertical distance to top shaft (mm)</t>
  </si>
  <si>
    <t>Moment of inertia about own axis (mm^4)</t>
  </si>
  <si>
    <t>Combined moment of intertia (mm^4)</t>
  </si>
  <si>
    <t>I/r (mm^3)</t>
  </si>
  <si>
    <t># of shafts</t>
  </si>
  <si>
    <t>Length of bearing</t>
  </si>
  <si>
    <t>Number of shafts</t>
  </si>
  <si>
    <t>Force on any Bearing 1 (N)</t>
  </si>
  <si>
    <t>Force on any Bearing 2 (N)</t>
  </si>
  <si>
    <t>Max force on any bearing (N)</t>
  </si>
  <si>
    <t>Max force on any bearing (lb-f)</t>
  </si>
  <si>
    <t>Base (mm)</t>
  </si>
  <si>
    <t>Height (mm)</t>
  </si>
  <si>
    <t>Vertical distance to rail (mm)</t>
  </si>
  <si>
    <t>6M/(bd^2)</t>
  </si>
  <si>
    <t>Bending moment on one shaft (Nmm)</t>
  </si>
  <si>
    <t>leadscrew_design.xls</t>
  </si>
  <si>
    <t>To design leadscrews</t>
  </si>
  <si>
    <t>By Alex Slocum, last modified 2/12/04 by Alex Slocum</t>
  </si>
  <si>
    <r>
      <t xml:space="preserve">Enter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output in </t>
    </r>
    <r>
      <rPr>
        <b/>
        <sz val="10"/>
        <color indexed="10"/>
        <rFont val="Times New Roman"/>
        <family val="1"/>
      </rPr>
      <t>RED</t>
    </r>
  </si>
  <si>
    <t>Force desired (no help from gravity), thrust (N)</t>
  </si>
  <si>
    <t>Backdriveability</t>
  </si>
  <si>
    <t>Lead, (mm)</t>
  </si>
  <si>
    <t>Coefficient of friction nut, mu</t>
  </si>
  <si>
    <t>Coefficient of friction support bearings, muthrust</t>
  </si>
  <si>
    <t>Screw pitch diameter, dscrew (mm)</t>
  </si>
  <si>
    <t>Thrust bearing diameter, dthrust (mm)</t>
  </si>
  <si>
    <t>Thread angle (deg), alpha (rad)</t>
  </si>
  <si>
    <t>Thread root stress concentration, scf</t>
  </si>
  <si>
    <t>Beta</t>
  </si>
  <si>
    <t>Torque required at screw, gamscrew (N-mm)</t>
  </si>
  <si>
    <t>Torque required at thrust bearing, gamthrust(N-mm)</t>
  </si>
  <si>
    <t>Thrust bearing efficiency, etathrust</t>
  </si>
  <si>
    <t>Total torque, gamtotal (N-mm)</t>
  </si>
  <si>
    <t>Backdriveable?</t>
  </si>
  <si>
    <t>Thread efficiency to generate force, et</t>
  </si>
  <si>
    <t>Total system efficiency, eta</t>
  </si>
  <si>
    <t>Estimated torsional stress, tau (N/mm^2)</t>
  </si>
  <si>
    <t>Tensile stress, sig (N/mm^2)</t>
  </si>
  <si>
    <t>Mises equivelant stress, sigma (N/mm^2)</t>
  </si>
  <si>
    <t>Gearbox ratio, n</t>
  </si>
  <si>
    <t>Travel, s (mm)</t>
  </si>
  <si>
    <t>Time to travel, tt (s)</t>
  </si>
  <si>
    <t>Motor speed, w (rpm, rad/s)</t>
  </si>
  <si>
    <t>Gearbox efficiency, etagearbox</t>
  </si>
  <si>
    <t>Motor torque, gammotor (N-mm)</t>
  </si>
  <si>
    <t>Power, Preq (watts)</t>
  </si>
  <si>
    <t>Shaft Stability</t>
  </si>
  <si>
    <t>Travel length L (mm, m)</t>
  </si>
  <si>
    <t>root diameter dr (mm, m)</t>
  </si>
  <si>
    <t>for leadscrews (else enter root diameter same as outer diameter)</t>
  </si>
  <si>
    <t>outer diameter do (mm, m)</t>
  </si>
  <si>
    <t>density rho (kg/m^3)</t>
  </si>
  <si>
    <t>Modulus E (M/m^2)</t>
  </si>
  <si>
    <t>Area A</t>
  </si>
  <si>
    <t>based on diameter</t>
  </si>
  <si>
    <t>Inertia I (m^4)</t>
  </si>
  <si>
    <t>based on root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</si>
</sst>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C00000"/>
      <name val="Aptos Narrow (Body)"/>
    </font>
    <font>
      <sz val="12"/>
      <color rgb="FFC00000"/>
      <name val="Aptos Narrow"/>
      <family val="2"/>
      <scheme val="minor"/>
    </font>
    <font>
      <b/>
      <sz val="12"/>
      <color theme="1"/>
      <name val="Aptos Narrow (Body)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1" fontId="3" fillId="0" borderId="0" xfId="0" applyNumberFormat="1" applyFont="1"/>
    <xf numFmtId="0" fontId="8" fillId="0" borderId="0" xfId="0" applyFont="1"/>
    <xf numFmtId="0" fontId="8" fillId="0" borderId="7" xfId="0" applyFont="1" applyBorder="1"/>
    <xf numFmtId="0" fontId="7" fillId="0" borderId="7" xfId="0" applyFont="1" applyBorder="1"/>
    <xf numFmtId="0" fontId="8" fillId="0" borderId="8" xfId="0" applyFont="1" applyBorder="1"/>
    <xf numFmtId="0" fontId="7" fillId="0" borderId="8" xfId="0" applyFont="1" applyBorder="1"/>
    <xf numFmtId="11" fontId="8" fillId="0" borderId="8" xfId="0" applyNumberFormat="1" applyFont="1" applyBorder="1"/>
    <xf numFmtId="164" fontId="9" fillId="0" borderId="8" xfId="0" applyNumberFormat="1" applyFont="1" applyBorder="1"/>
    <xf numFmtId="0" fontId="9" fillId="0" borderId="8" xfId="0" applyFont="1" applyBorder="1"/>
    <xf numFmtId="0" fontId="8" fillId="2" borderId="8" xfId="0" applyFont="1" applyFill="1" applyBorder="1"/>
    <xf numFmtId="4" fontId="9" fillId="2" borderId="8" xfId="0" applyNumberFormat="1" applyFont="1" applyFill="1" applyBorder="1"/>
    <xf numFmtId="2" fontId="8" fillId="0" borderId="8" xfId="0" applyNumberFormat="1" applyFont="1" applyBorder="1"/>
    <xf numFmtId="9" fontId="9" fillId="0" borderId="0" xfId="1" applyFont="1"/>
    <xf numFmtId="3" fontId="9" fillId="0" borderId="8" xfId="0" applyNumberFormat="1" applyFont="1" applyBorder="1" applyAlignment="1">
      <alignment horizontal="right"/>
    </xf>
    <xf numFmtId="9" fontId="9" fillId="0" borderId="8" xfId="1" applyFont="1" applyBorder="1" applyAlignment="1">
      <alignment horizontal="right"/>
    </xf>
    <xf numFmtId="4" fontId="9" fillId="0" borderId="8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9" fontId="7" fillId="0" borderId="8" xfId="0" applyNumberFormat="1" applyFont="1" applyBorder="1"/>
    <xf numFmtId="1" fontId="8" fillId="0" borderId="0" xfId="0" applyNumberFormat="1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1" fontId="7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352976</xdr:colOff>
      <xdr:row>2</xdr:row>
      <xdr:rowOff>47388</xdr:rowOff>
    </xdr:from>
    <xdr:to>
      <xdr:col>6</xdr:col>
      <xdr:colOff>691582</xdr:colOff>
      <xdr:row>4</xdr:row>
      <xdr:rowOff>156253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4543" y="445448"/>
          <a:ext cx="1987711" cy="506924"/>
        </a:xfrm>
        <a:prstGeom prst="rect">
          <a:avLst/>
        </a:prstGeom>
      </xdr:spPr>
    </xdr:pic>
    <xdr:clientData/>
  </xdr:twoCellAnchor>
  <xdr:twoCellAnchor editAs="oneCell">
    <xdr:from>
      <xdr:col>4</xdr:col>
      <xdr:colOff>171281</xdr:colOff>
      <xdr:row>5</xdr:row>
      <xdr:rowOff>93562</xdr:rowOff>
    </xdr:from>
    <xdr:to>
      <xdr:col>7</xdr:col>
      <xdr:colOff>180074</xdr:colOff>
      <xdr:row>13</xdr:row>
      <xdr:rowOff>122024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2848" y="1088711"/>
          <a:ext cx="2482450" cy="1620701"/>
        </a:xfrm>
        <a:prstGeom prst="rect">
          <a:avLst/>
        </a:prstGeom>
      </xdr:spPr>
    </xdr:pic>
    <xdr:clientData/>
  </xdr:twoCellAnchor>
  <xdr:twoCellAnchor editAs="oneCell">
    <xdr:from>
      <xdr:col>2</xdr:col>
      <xdr:colOff>104681</xdr:colOff>
      <xdr:row>6</xdr:row>
      <xdr:rowOff>108864</xdr:rowOff>
    </xdr:from>
    <xdr:to>
      <xdr:col>2</xdr:col>
      <xdr:colOff>408497</xdr:colOff>
      <xdr:row>8</xdr:row>
      <xdr:rowOff>76371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07144" y="1502073"/>
          <a:ext cx="303816" cy="3655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101867</xdr:colOff>
      <xdr:row>13</xdr:row>
      <xdr:rowOff>85556</xdr:rowOff>
    </xdr:from>
    <xdr:to>
      <xdr:col>3</xdr:col>
      <xdr:colOff>276596</xdr:colOff>
      <xdr:row>15</xdr:row>
      <xdr:rowOff>27838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1067" y="2930356"/>
          <a:ext cx="997689" cy="34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352976</xdr:colOff>
      <xdr:row>2</xdr:row>
      <xdr:rowOff>47388</xdr:rowOff>
    </xdr:from>
    <xdr:to>
      <xdr:col>6</xdr:col>
      <xdr:colOff>691582</xdr:colOff>
      <xdr:row>4</xdr:row>
      <xdr:rowOff>156253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3176" y="453788"/>
          <a:ext cx="1989606" cy="5152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171281</xdr:colOff>
      <xdr:row>5</xdr:row>
      <xdr:rowOff>93562</xdr:rowOff>
    </xdr:from>
    <xdr:to>
      <xdr:col>7</xdr:col>
      <xdr:colOff>180074</xdr:colOff>
      <xdr:row>13</xdr:row>
      <xdr:rowOff>122024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481" y="1109562"/>
          <a:ext cx="2485293" cy="1654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</xdr:row>
          <xdr:rowOff>88900</xdr:rowOff>
        </xdr:from>
        <xdr:to>
          <xdr:col>5</xdr:col>
          <xdr:colOff>190500</xdr:colOff>
          <xdr:row>7</xdr:row>
          <xdr:rowOff>127000</xdr:rowOff>
        </xdr:to>
        <xdr:sp macro="" textlink="">
          <xdr:nvSpPr>
            <xdr:cNvPr id="6145" name="Picture 3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2C81-6B43-324A-9DDD-A0906D42A437}">
  <dimension ref="A1:B18"/>
  <sheetViews>
    <sheetView zoomScale="125" workbookViewId="0">
      <selection activeCell="A22" sqref="A22"/>
    </sheetView>
  </sheetViews>
  <sheetFormatPr baseColWidth="10" defaultRowHeight="16" x14ac:dyDescent="0.2"/>
  <cols>
    <col min="1" max="1" width="37.1640625" customWidth="1"/>
    <col min="2" max="2" width="12.1640625" bestFit="1" customWidth="1"/>
  </cols>
  <sheetData>
    <row r="1" spans="1:2" x14ac:dyDescent="0.2">
      <c r="A1" t="s">
        <v>4</v>
      </c>
    </row>
    <row r="3" spans="1:2" x14ac:dyDescent="0.2">
      <c r="A3" s="1" t="s">
        <v>1</v>
      </c>
    </row>
    <row r="4" spans="1:2" x14ac:dyDescent="0.2">
      <c r="A4" t="s">
        <v>17</v>
      </c>
      <c r="B4">
        <v>19.05</v>
      </c>
    </row>
    <row r="6" spans="1:2" x14ac:dyDescent="0.2">
      <c r="A6" s="1" t="s">
        <v>0</v>
      </c>
    </row>
    <row r="7" spans="1:2" x14ac:dyDescent="0.2">
      <c r="A7" t="s">
        <v>19</v>
      </c>
      <c r="B7">
        <v>250</v>
      </c>
    </row>
    <row r="8" spans="1:2" x14ac:dyDescent="0.2">
      <c r="A8" t="s">
        <v>20</v>
      </c>
      <c r="B8" s="2">
        <f>(3.141593*B4^4)/64</f>
        <v>6464.7221909572427</v>
      </c>
    </row>
    <row r="9" spans="1:2" x14ac:dyDescent="0.2">
      <c r="A9" t="s">
        <v>23</v>
      </c>
      <c r="B9">
        <v>2</v>
      </c>
    </row>
    <row r="10" spans="1:2" x14ac:dyDescent="0.2">
      <c r="A10" t="s">
        <v>21</v>
      </c>
      <c r="B10" s="2">
        <f>B9*B8</f>
        <v>12929.444381914485</v>
      </c>
    </row>
    <row r="11" spans="1:2" x14ac:dyDescent="0.2">
      <c r="A11" t="s">
        <v>22</v>
      </c>
      <c r="B11" s="2">
        <f>B10/(B4/2)</f>
        <v>1357.4219823532267</v>
      </c>
    </row>
    <row r="13" spans="1:2" x14ac:dyDescent="0.2">
      <c r="A13" s="1" t="s">
        <v>2</v>
      </c>
    </row>
    <row r="14" spans="1:2" x14ac:dyDescent="0.2">
      <c r="A14" t="s">
        <v>5</v>
      </c>
      <c r="B14">
        <v>2000</v>
      </c>
    </row>
    <row r="15" spans="1:2" x14ac:dyDescent="0.2">
      <c r="A15" t="s">
        <v>3</v>
      </c>
      <c r="B15">
        <v>690</v>
      </c>
    </row>
    <row r="16" spans="1:2" x14ac:dyDescent="0.2">
      <c r="A16" t="s">
        <v>18</v>
      </c>
      <c r="B16" s="2">
        <f>(B7)*B14</f>
        <v>500000</v>
      </c>
    </row>
    <row r="17" spans="1:2" x14ac:dyDescent="0.2">
      <c r="A17" t="s">
        <v>7</v>
      </c>
      <c r="B17" s="6">
        <f>B16/B11</f>
        <v>368.34529461000773</v>
      </c>
    </row>
    <row r="18" spans="1:2" x14ac:dyDescent="0.2">
      <c r="A18" t="s">
        <v>6</v>
      </c>
      <c r="B18" s="3" t="str">
        <f>IF(B17&gt;(B15),"YES","NO")</f>
        <v>NO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0C04-9887-2945-BF37-EABF71D1ECE3}">
  <dimension ref="A1:C17"/>
  <sheetViews>
    <sheetView topLeftCell="A2" zoomScale="125" workbookViewId="0">
      <selection activeCell="E18" sqref="E18"/>
    </sheetView>
  </sheetViews>
  <sheetFormatPr baseColWidth="10" defaultRowHeight="16" x14ac:dyDescent="0.2"/>
  <cols>
    <col min="1" max="1" width="37.1640625" customWidth="1"/>
    <col min="2" max="2" width="12.1640625" bestFit="1" customWidth="1"/>
  </cols>
  <sheetData>
    <row r="1" spans="1:3" x14ac:dyDescent="0.2">
      <c r="A1" t="s">
        <v>4</v>
      </c>
    </row>
    <row r="3" spans="1:3" x14ac:dyDescent="0.2">
      <c r="A3" s="1" t="s">
        <v>1</v>
      </c>
    </row>
    <row r="4" spans="1:3" x14ac:dyDescent="0.2">
      <c r="A4" t="s">
        <v>31</v>
      </c>
      <c r="B4">
        <v>13.5</v>
      </c>
    </row>
    <row r="5" spans="1:3" x14ac:dyDescent="0.2">
      <c r="A5" t="s">
        <v>30</v>
      </c>
      <c r="B5">
        <v>12</v>
      </c>
    </row>
    <row r="7" spans="1:3" x14ac:dyDescent="0.2">
      <c r="A7" s="1" t="s">
        <v>0</v>
      </c>
    </row>
    <row r="8" spans="1:3" x14ac:dyDescent="0.2">
      <c r="A8" t="s">
        <v>32</v>
      </c>
      <c r="B8">
        <v>250</v>
      </c>
    </row>
    <row r="9" spans="1:3" x14ac:dyDescent="0.2">
      <c r="A9" t="s">
        <v>23</v>
      </c>
      <c r="B9">
        <v>2</v>
      </c>
    </row>
    <row r="11" spans="1:3" x14ac:dyDescent="0.2">
      <c r="A11" s="1" t="s">
        <v>2</v>
      </c>
    </row>
    <row r="12" spans="1:3" x14ac:dyDescent="0.2">
      <c r="A12" t="s">
        <v>5</v>
      </c>
      <c r="B12">
        <v>2000</v>
      </c>
    </row>
    <row r="13" spans="1:3" x14ac:dyDescent="0.2">
      <c r="A13" t="s">
        <v>3</v>
      </c>
      <c r="B13">
        <v>690</v>
      </c>
    </row>
    <row r="14" spans="1:3" x14ac:dyDescent="0.2">
      <c r="A14" t="s">
        <v>18</v>
      </c>
      <c r="B14" s="2">
        <f>(B8)*B12</f>
        <v>500000</v>
      </c>
      <c r="C14">
        <f xml:space="preserve"> B14/1000</f>
        <v>500</v>
      </c>
    </row>
    <row r="15" spans="1:3" x14ac:dyDescent="0.2">
      <c r="A15" t="s">
        <v>34</v>
      </c>
      <c r="B15" s="2">
        <f>B14/B9</f>
        <v>250000</v>
      </c>
    </row>
    <row r="16" spans="1:3" x14ac:dyDescent="0.2">
      <c r="A16" t="s">
        <v>7</v>
      </c>
      <c r="B16" s="6">
        <f>6*B15/(B5*B4^2)</f>
        <v>685.87105624142657</v>
      </c>
      <c r="C16" t="s">
        <v>33</v>
      </c>
    </row>
    <row r="17" spans="1:2" x14ac:dyDescent="0.2">
      <c r="A17" t="s">
        <v>6</v>
      </c>
      <c r="B17" s="3" t="str">
        <f>IF(B16&gt;(B13),"YES","NO")</f>
        <v>NO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8110-1836-BD42-88CC-84EA646F7070}">
  <dimension ref="A1:B21"/>
  <sheetViews>
    <sheetView zoomScale="132" workbookViewId="0">
      <selection activeCell="B19" sqref="B19"/>
    </sheetView>
  </sheetViews>
  <sheetFormatPr baseColWidth="10" defaultRowHeight="16" x14ac:dyDescent="0.2"/>
  <cols>
    <col min="1" max="1" width="32.6640625" customWidth="1"/>
  </cols>
  <sheetData>
    <row r="1" spans="1:2" x14ac:dyDescent="0.2">
      <c r="A1" t="s">
        <v>4</v>
      </c>
    </row>
    <row r="3" spans="1:2" x14ac:dyDescent="0.2">
      <c r="A3" s="1" t="s">
        <v>10</v>
      </c>
    </row>
    <row r="4" spans="1:2" x14ac:dyDescent="0.2">
      <c r="A4" t="s">
        <v>8</v>
      </c>
      <c r="B4">
        <f>0.28+B7/2</f>
        <v>0.29750000000000004</v>
      </c>
    </row>
    <row r="5" spans="1:2" x14ac:dyDescent="0.2">
      <c r="A5" t="s">
        <v>9</v>
      </c>
      <c r="B5">
        <v>0.12</v>
      </c>
    </row>
    <row r="6" spans="1:2" x14ac:dyDescent="0.2">
      <c r="A6" s="4" t="s">
        <v>11</v>
      </c>
      <c r="B6">
        <f>0.18+B7/2</f>
        <v>0.19750000000000001</v>
      </c>
    </row>
    <row r="7" spans="1:2" x14ac:dyDescent="0.2">
      <c r="A7" s="4" t="s">
        <v>24</v>
      </c>
      <c r="B7">
        <v>3.5000000000000003E-2</v>
      </c>
    </row>
    <row r="9" spans="1:2" x14ac:dyDescent="0.2">
      <c r="A9" s="1" t="s">
        <v>12</v>
      </c>
    </row>
    <row r="10" spans="1:2" x14ac:dyDescent="0.2">
      <c r="A10" t="s">
        <v>14</v>
      </c>
      <c r="B10">
        <v>500</v>
      </c>
    </row>
    <row r="11" spans="1:2" x14ac:dyDescent="0.2">
      <c r="A11" t="s">
        <v>25</v>
      </c>
      <c r="B11">
        <v>2</v>
      </c>
    </row>
    <row r="12" spans="1:2" x14ac:dyDescent="0.2">
      <c r="A12" t="s">
        <v>13</v>
      </c>
      <c r="B12">
        <v>2.8</v>
      </c>
    </row>
    <row r="13" spans="1:2" x14ac:dyDescent="0.2">
      <c r="A13" t="s">
        <v>16</v>
      </c>
      <c r="B13" s="2">
        <f>B12*9.8</f>
        <v>27.44</v>
      </c>
    </row>
    <row r="15" spans="1:2" x14ac:dyDescent="0.2">
      <c r="A15" s="1" t="s">
        <v>15</v>
      </c>
    </row>
    <row r="16" spans="1:2" x14ac:dyDescent="0.2">
      <c r="A16" t="s">
        <v>26</v>
      </c>
      <c r="B16" s="2">
        <f>(B10/B11-B13*B6)/B5</f>
        <v>2038.1716666666669</v>
      </c>
    </row>
    <row r="17" spans="1:2" x14ac:dyDescent="0.2">
      <c r="A17" t="s">
        <v>27</v>
      </c>
      <c r="B17" s="2">
        <f>(B10/B11-B13*(B6+B5))/B5</f>
        <v>2010.7316666666668</v>
      </c>
    </row>
    <row r="18" spans="1:2" x14ac:dyDescent="0.2">
      <c r="A18" t="s">
        <v>28</v>
      </c>
      <c r="B18" s="2">
        <f>MAX(B16, B17)</f>
        <v>2038.1716666666669</v>
      </c>
    </row>
    <row r="19" spans="1:2" x14ac:dyDescent="0.2">
      <c r="A19" t="s">
        <v>29</v>
      </c>
      <c r="B19" s="2">
        <f xml:space="preserve"> B18/4.448</f>
        <v>458.22204736211029</v>
      </c>
    </row>
    <row r="20" spans="1:2" x14ac:dyDescent="0.2">
      <c r="B20" s="5"/>
    </row>
    <row r="21" spans="1:2" x14ac:dyDescent="0.2">
      <c r="A2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A5B4-AFD2-9941-AA45-82FE136DDB11}">
  <dimension ref="A1:E38"/>
  <sheetViews>
    <sheetView tabSelected="1" zoomScale="110" workbookViewId="0">
      <selection activeCell="I15" sqref="I15"/>
    </sheetView>
  </sheetViews>
  <sheetFormatPr baseColWidth="10" defaultRowHeight="16" x14ac:dyDescent="0.2"/>
  <cols>
    <col min="1" max="1" width="43.33203125" customWidth="1"/>
    <col min="2" max="2" width="21.6640625" customWidth="1"/>
    <col min="3" max="3" width="21.5" customWidth="1"/>
  </cols>
  <sheetData>
    <row r="1" spans="1:5" x14ac:dyDescent="0.2">
      <c r="A1" s="30" t="s">
        <v>35</v>
      </c>
      <c r="B1" s="31"/>
      <c r="C1" s="32"/>
      <c r="D1" s="7"/>
      <c r="E1" s="7"/>
    </row>
    <row r="2" spans="1:5" x14ac:dyDescent="0.2">
      <c r="A2" s="33" t="s">
        <v>36</v>
      </c>
      <c r="B2" s="34"/>
      <c r="C2" s="35"/>
      <c r="D2" s="7"/>
      <c r="E2" s="7"/>
    </row>
    <row r="3" spans="1:5" x14ac:dyDescent="0.2">
      <c r="A3" s="33" t="s">
        <v>37</v>
      </c>
      <c r="B3" s="34"/>
      <c r="C3" s="35"/>
      <c r="D3" s="7"/>
      <c r="E3" s="7"/>
    </row>
    <row r="4" spans="1:5" ht="17" thickBot="1" x14ac:dyDescent="0.25">
      <c r="A4" s="36" t="s">
        <v>38</v>
      </c>
      <c r="B4" s="37"/>
      <c r="C4" s="38"/>
      <c r="D4" s="7"/>
      <c r="E4" s="7"/>
    </row>
    <row r="5" spans="1:5" x14ac:dyDescent="0.2">
      <c r="A5" s="8" t="s">
        <v>39</v>
      </c>
      <c r="B5" s="9">
        <v>2000</v>
      </c>
      <c r="C5" s="8"/>
      <c r="D5" s="7"/>
      <c r="E5" s="7" t="s">
        <v>40</v>
      </c>
    </row>
    <row r="6" spans="1:5" x14ac:dyDescent="0.2">
      <c r="A6" s="10" t="s">
        <v>41</v>
      </c>
      <c r="B6" s="11">
        <v>5.08</v>
      </c>
      <c r="C6" s="10"/>
      <c r="D6" s="7"/>
      <c r="E6" s="7"/>
    </row>
    <row r="7" spans="1:5" x14ac:dyDescent="0.2">
      <c r="A7" s="10" t="s">
        <v>42</v>
      </c>
      <c r="B7" s="11">
        <v>5.0000000000000001E-3</v>
      </c>
      <c r="C7" s="10"/>
      <c r="D7" s="7"/>
      <c r="E7" s="7"/>
    </row>
    <row r="8" spans="1:5" x14ac:dyDescent="0.2">
      <c r="A8" s="10" t="s">
        <v>43</v>
      </c>
      <c r="B8" s="11">
        <v>0.01</v>
      </c>
      <c r="C8" s="10"/>
      <c r="D8" s="7"/>
      <c r="E8" s="7"/>
    </row>
    <row r="9" spans="1:5" x14ac:dyDescent="0.2">
      <c r="A9" s="10" t="s">
        <v>44</v>
      </c>
      <c r="B9" s="11">
        <v>14.2875</v>
      </c>
      <c r="C9" s="12"/>
      <c r="D9" s="7"/>
      <c r="E9" s="7"/>
    </row>
    <row r="10" spans="1:5" x14ac:dyDescent="0.2">
      <c r="A10" s="10" t="s">
        <v>45</v>
      </c>
      <c r="B10" s="11">
        <v>15.875</v>
      </c>
      <c r="C10" s="12"/>
      <c r="D10" s="7"/>
      <c r="E10" s="7"/>
    </row>
    <row r="11" spans="1:5" x14ac:dyDescent="0.2">
      <c r="A11" s="10" t="s">
        <v>46</v>
      </c>
      <c r="B11" s="11">
        <v>60</v>
      </c>
      <c r="C11" s="13">
        <f>PI()*B11/180</f>
        <v>1.0471975511965976</v>
      </c>
      <c r="D11" s="7"/>
      <c r="E11" s="7"/>
    </row>
    <row r="12" spans="1:5" x14ac:dyDescent="0.2">
      <c r="A12" s="10" t="s">
        <v>47</v>
      </c>
      <c r="B12" s="11">
        <v>1.5</v>
      </c>
      <c r="C12" s="13"/>
      <c r="D12" s="7"/>
      <c r="E12" s="7">
        <f>muthrust</f>
        <v>0.01</v>
      </c>
    </row>
    <row r="13" spans="1:5" x14ac:dyDescent="0.2">
      <c r="A13" s="10" t="s">
        <v>48</v>
      </c>
      <c r="B13" s="14">
        <f>Lead/dscrew</f>
        <v>0.35555555555555557</v>
      </c>
      <c r="C13" s="10"/>
      <c r="D13" s="7"/>
      <c r="E13" s="7"/>
    </row>
    <row r="14" spans="1:5" x14ac:dyDescent="0.2">
      <c r="A14" s="15" t="s">
        <v>49</v>
      </c>
      <c r="B14" s="16">
        <f>thrust*Lead/(2*PI()*et)</f>
        <v>1761.8832657667069</v>
      </c>
      <c r="C14" s="17"/>
      <c r="D14" s="7"/>
      <c r="E14" s="7"/>
    </row>
    <row r="15" spans="1:5" x14ac:dyDescent="0.2">
      <c r="A15" s="15" t="s">
        <v>50</v>
      </c>
      <c r="B15" s="16">
        <f>thrust*(dthrust/2)*muthrust</f>
        <v>158.75</v>
      </c>
      <c r="C15" s="17"/>
      <c r="D15" s="7">
        <f>gamthrust/1000</f>
        <v>0.15875</v>
      </c>
      <c r="E15" s="7"/>
    </row>
    <row r="16" spans="1:5" x14ac:dyDescent="0.2">
      <c r="A16" s="10" t="s">
        <v>51</v>
      </c>
      <c r="B16" s="18">
        <f>Lead/(Lead+dthrust*muthrust*PI()*et)</f>
        <v>0.91734497010462435</v>
      </c>
      <c r="C16" s="17"/>
      <c r="D16" s="7"/>
      <c r="E16" s="7"/>
    </row>
    <row r="17" spans="1:5" x14ac:dyDescent="0.2">
      <c r="A17" s="15" t="s">
        <v>52</v>
      </c>
      <c r="B17" s="16">
        <f>B14+B15</f>
        <v>1920.6332657667069</v>
      </c>
      <c r="C17" s="17"/>
      <c r="D17" s="7"/>
      <c r="E17" s="7"/>
    </row>
    <row r="18" spans="1:5" x14ac:dyDescent="0.2">
      <c r="A18" s="10" t="s">
        <v>53</v>
      </c>
      <c r="B18" s="19" t="str">
        <f>IF(Lead&lt;2*PI()*(dscrew/2)*mu/COS(alpha), "NO", "YES")</f>
        <v>YES</v>
      </c>
      <c r="C18" s="17"/>
      <c r="D18" s="7"/>
      <c r="E18" s="7"/>
    </row>
    <row r="19" spans="1:5" x14ac:dyDescent="0.2">
      <c r="A19" s="10" t="s">
        <v>54</v>
      </c>
      <c r="B19" s="20">
        <f>(COS(alpha)-mu*Beta/PI())/(COS(alpha)+mu*PI()/Beta)</f>
        <v>0.9177760259332457</v>
      </c>
      <c r="C19" s="17"/>
      <c r="D19" s="7"/>
      <c r="E19" s="7"/>
    </row>
    <row r="20" spans="1:5" x14ac:dyDescent="0.2">
      <c r="A20" s="10" t="s">
        <v>55</v>
      </c>
      <c r="B20" s="20">
        <f>et*etathrust</f>
        <v>0.84191722107247424</v>
      </c>
      <c r="C20" s="17"/>
      <c r="D20" s="7"/>
      <c r="E20" s="7"/>
    </row>
    <row r="21" spans="1:5" x14ac:dyDescent="0.2">
      <c r="A21" s="10" t="s">
        <v>56</v>
      </c>
      <c r="B21" s="21">
        <f>(B14*16)/(PI()*(0.9*B9)^3)</f>
        <v>4.2203744203723765</v>
      </c>
      <c r="C21" s="10"/>
      <c r="D21" s="7"/>
      <c r="E21" s="7"/>
    </row>
    <row r="22" spans="1:5" x14ac:dyDescent="0.2">
      <c r="A22" s="10" t="s">
        <v>57</v>
      </c>
      <c r="B22" s="21">
        <f>thrust/(PI()*(0.9*dscrew)^2/4)</f>
        <v>15.40077615594684</v>
      </c>
      <c r="C22" s="10"/>
      <c r="D22" s="7"/>
      <c r="E22" s="7"/>
    </row>
    <row r="23" spans="1:5" x14ac:dyDescent="0.2">
      <c r="A23" s="10" t="s">
        <v>58</v>
      </c>
      <c r="B23" s="22">
        <f>scf*SQRT(B22^2+3*B21^2)</f>
        <v>25.571308543706898</v>
      </c>
      <c r="C23" s="10"/>
      <c r="D23" s="7"/>
      <c r="E23" s="7"/>
    </row>
    <row r="24" spans="1:5" x14ac:dyDescent="0.2">
      <c r="A24" s="10" t="s">
        <v>59</v>
      </c>
      <c r="B24" s="11">
        <v>1</v>
      </c>
      <c r="C24" s="10"/>
      <c r="D24" s="7"/>
      <c r="E24" s="7"/>
    </row>
    <row r="25" spans="1:5" x14ac:dyDescent="0.2">
      <c r="A25" s="10" t="s">
        <v>60</v>
      </c>
      <c r="B25" s="11">
        <v>200</v>
      </c>
      <c r="C25" s="10"/>
      <c r="D25" s="7"/>
      <c r="E25" s="7"/>
    </row>
    <row r="26" spans="1:5" x14ac:dyDescent="0.2">
      <c r="A26" s="10" t="s">
        <v>61</v>
      </c>
      <c r="B26" s="11">
        <v>5</v>
      </c>
      <c r="C26" s="10"/>
      <c r="D26" s="7"/>
      <c r="E26" s="7"/>
    </row>
    <row r="27" spans="1:5" x14ac:dyDescent="0.2">
      <c r="A27" s="10" t="s">
        <v>62</v>
      </c>
      <c r="B27" s="14">
        <f>60*s*n/(Lead*tt)</f>
        <v>472.44094488188978</v>
      </c>
      <c r="C27" s="23">
        <f>B27*2*PI()/60</f>
        <v>49.47390005653218</v>
      </c>
      <c r="D27" s="7"/>
      <c r="E27" s="7"/>
    </row>
    <row r="28" spans="1:5" x14ac:dyDescent="0.2">
      <c r="A28" s="10" t="s">
        <v>63</v>
      </c>
      <c r="B28" s="24">
        <v>0.9</v>
      </c>
      <c r="C28" s="10"/>
      <c r="D28" s="25"/>
      <c r="E28" s="7"/>
    </row>
    <row r="29" spans="1:5" x14ac:dyDescent="0.2">
      <c r="A29" s="10" t="s">
        <v>64</v>
      </c>
      <c r="B29" s="23">
        <f>gamtotal/(n*etagearbox)</f>
        <v>2134.0369619630078</v>
      </c>
      <c r="C29" s="17"/>
      <c r="D29" s="7"/>
      <c r="E29" s="7"/>
    </row>
    <row r="30" spans="1:5" x14ac:dyDescent="0.2">
      <c r="A30" s="10" t="s">
        <v>65</v>
      </c>
      <c r="B30" s="23">
        <f>B29*C27/1000</f>
        <v>105.57913137310342</v>
      </c>
      <c r="C30" s="17"/>
      <c r="D30" s="7"/>
      <c r="E30" s="7"/>
    </row>
    <row r="31" spans="1:5" x14ac:dyDescent="0.2">
      <c r="A31" s="26" t="s">
        <v>66</v>
      </c>
      <c r="B31" s="7"/>
      <c r="C31" s="7"/>
      <c r="D31" s="7"/>
      <c r="E31" s="7"/>
    </row>
    <row r="32" spans="1:5" x14ac:dyDescent="0.2">
      <c r="A32" s="7" t="s">
        <v>67</v>
      </c>
      <c r="B32" s="26">
        <v>200</v>
      </c>
      <c r="C32" s="27">
        <f>B32/1000</f>
        <v>0.2</v>
      </c>
      <c r="D32" s="7"/>
      <c r="E32" s="7"/>
    </row>
    <row r="33" spans="1:5" x14ac:dyDescent="0.2">
      <c r="A33" s="7" t="s">
        <v>68</v>
      </c>
      <c r="B33" s="26">
        <v>6</v>
      </c>
      <c r="C33" s="27">
        <f>B33/1000</f>
        <v>6.0000000000000001E-3</v>
      </c>
      <c r="D33" s="7" t="s">
        <v>69</v>
      </c>
      <c r="E33" s="7"/>
    </row>
    <row r="34" spans="1:5" x14ac:dyDescent="0.2">
      <c r="A34" s="7" t="s">
        <v>70</v>
      </c>
      <c r="B34" s="28">
        <f>dscrew/1000</f>
        <v>1.42875E-2</v>
      </c>
      <c r="C34" s="26"/>
      <c r="D34" s="7"/>
      <c r="E34" s="7"/>
    </row>
    <row r="35" spans="1:5" x14ac:dyDescent="0.2">
      <c r="A35" s="7" t="s">
        <v>71</v>
      </c>
      <c r="B35" s="26">
        <v>7900</v>
      </c>
      <c r="C35" s="7"/>
      <c r="D35" s="7"/>
      <c r="E35" s="7"/>
    </row>
    <row r="36" spans="1:5" x14ac:dyDescent="0.2">
      <c r="A36" s="7" t="s">
        <v>72</v>
      </c>
      <c r="B36" s="29">
        <v>200000000000</v>
      </c>
      <c r="C36" s="7"/>
      <c r="D36" s="7"/>
      <c r="E36" s="7"/>
    </row>
    <row r="37" spans="1:5" x14ac:dyDescent="0.2">
      <c r="A37" s="7" t="s">
        <v>73</v>
      </c>
      <c r="B37" s="7">
        <f>PI()*do^2/4</f>
        <v>1.6032541330819264E-4</v>
      </c>
      <c r="C37" s="7" t="s">
        <v>74</v>
      </c>
      <c r="D37" s="7"/>
      <c r="E37" s="7"/>
    </row>
    <row r="38" spans="1:5" x14ac:dyDescent="0.2">
      <c r="A38" s="7" t="s">
        <v>75</v>
      </c>
      <c r="B38" s="7">
        <f>PI()*dr^4/64</f>
        <v>6.3617251235193316E-11</v>
      </c>
      <c r="C38" s="7" t="s">
        <v>76</v>
      </c>
      <c r="D38" s="7"/>
      <c r="E38" s="7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6145" r:id="rId3">
          <objectPr defaultSize="0" autoPict="0" r:id="rId4">
            <anchor moveWithCells="1">
              <from>
                <xdr:col>4</xdr:col>
                <xdr:colOff>38100</xdr:colOff>
                <xdr:row>5</xdr:row>
                <xdr:rowOff>88900</xdr:rowOff>
              </from>
              <to>
                <xdr:col>5</xdr:col>
                <xdr:colOff>190500</xdr:colOff>
                <xdr:row>7</xdr:row>
                <xdr:rowOff>127000</xdr:rowOff>
              </to>
            </anchor>
          </objectPr>
        </oleObject>
      </mc:Choice>
      <mc:Fallback>
        <oleObject progId="Equation.3" shapeId="614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Shaft Yielding</vt:lpstr>
      <vt:lpstr>Rectangular Rail Yielding</vt:lpstr>
      <vt:lpstr>Shaft Bearing Loading</vt:lpstr>
      <vt:lpstr>Motor and Lead Screw</vt:lpstr>
      <vt:lpstr>alpha</vt:lpstr>
      <vt:lpstr>Beta</vt:lpstr>
      <vt:lpstr>do</vt:lpstr>
      <vt:lpstr>dr</vt:lpstr>
      <vt:lpstr>dscrew</vt:lpstr>
      <vt:lpstr>dthrust</vt:lpstr>
      <vt:lpstr>et</vt:lpstr>
      <vt:lpstr>etagearbox</vt:lpstr>
      <vt:lpstr>etathrust</vt:lpstr>
      <vt:lpstr>gamthrust</vt:lpstr>
      <vt:lpstr>gamtotal</vt:lpstr>
      <vt:lpstr>Lead</vt:lpstr>
      <vt:lpstr>mu</vt:lpstr>
      <vt:lpstr>muthrust</vt:lpstr>
      <vt:lpstr>n</vt:lpstr>
      <vt:lpstr>s</vt:lpstr>
      <vt:lpstr>scf</vt:lpstr>
      <vt:lpstr>thrust</vt:lpstr>
      <vt:lpstr>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 Lee</dc:creator>
  <cp:lastModifiedBy>Alexandra C Lee</cp:lastModifiedBy>
  <dcterms:created xsi:type="dcterms:W3CDTF">2024-04-07T14:13:09Z</dcterms:created>
  <dcterms:modified xsi:type="dcterms:W3CDTF">2024-10-23T00:21:57Z</dcterms:modified>
</cp:coreProperties>
</file>