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oleObject" PartName="/xl/embeddings/oleObject1.bin"/>
  <Override ContentType="application/vnd.openxmlformats-officedocument.oleObject" PartName="/xl/embeddings/oleObject2.bin"/>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nding Plate Analysis" sheetId="1" r:id="rId4"/>
    <sheet state="visible" name="Pulley System" sheetId="2" r:id="rId5"/>
    <sheet state="visible" name="Vertical Leadscrew and Spring S" sheetId="3" r:id="rId6"/>
    <sheet state="visible" name="Damper" sheetId="4" r:id="rId7"/>
    <sheet state="hidden" name="Hinge Analysis" sheetId="5" r:id="rId8"/>
    <sheet state="visible" name="Hinge Spreadsheet" sheetId="6" r:id="rId9"/>
    <sheet state="visible" name="Ankle Pin" sheetId="7" r:id="rId10"/>
    <sheet state="visible" name="Rod Connecting Bearing + Rack" sheetId="8" r:id="rId11"/>
    <sheet state="visible" name="Curved Bar Calcs" sheetId="9" r:id="rId12"/>
    <sheet state="hidden" name="Curved Bar Stress Results" sheetId="10" r:id="rId13"/>
    <sheet state="hidden" name="Base Brackets" sheetId="11" r:id="rId14"/>
    <sheet state="visible" name="Base Frame" sheetId="12" r:id="rId15"/>
    <sheet state="visible" name="Plate Connected to Spring" sheetId="13" r:id="rId16"/>
    <sheet state="visible" name="Twisting Torque Hex Bar" sheetId="14" r:id="rId17"/>
    <sheet state="visible" name="Leadscrew" sheetId="15" r:id="rId18"/>
  </sheets>
  <definedNames>
    <definedName name="_xlfn._FV">#NAME?</definedName>
    <definedName name="I">Leadscrew!$B$37</definedName>
    <definedName name="eta">Leadscrew!$B$19</definedName>
    <definedName name="etagearbox">Leadscrew!$B$27</definedName>
    <definedName name="length">#REF!</definedName>
    <definedName name="L">Leadscrew!$C$31</definedName>
    <definedName name="tau">Leadscrew!$B$20</definedName>
    <definedName name="sigma">Leadscrew!$B$22</definedName>
    <definedName name="rho">Leadscrew!$B$34</definedName>
    <definedName name="dthrust">Leadscrew!$B$9</definedName>
    <definedName name="scf">Leadscrew!$B$11</definedName>
    <definedName name="etas">#REF!</definedName>
    <definedName name="Iinc">Leadscrew!$B$47</definedName>
    <definedName name="Dm">#REF!</definedName>
    <definedName name="P">#REF!</definedName>
    <definedName name="etamotor">#REF!</definedName>
    <definedName name="gamscrew">Leadscrew!$B$13</definedName>
    <definedName name="et">Leadscrew!$B$18</definedName>
    <definedName name="n">Leadscrew!$B$23</definedName>
    <definedName name="Ls">#REF!</definedName>
    <definedName name="D">#REF!</definedName>
    <definedName name="gammotor">Leadscrew!$B$28</definedName>
    <definedName name="etathrust">Leadscrew!$B$15</definedName>
    <definedName name="alpha">Leadscrew!$C$10</definedName>
    <definedName name="do">Leadscrew!$B$33</definedName>
    <definedName name="Pm">#REF!</definedName>
    <definedName name="screwlead">#REF!</definedName>
    <definedName name="A">Leadscrew!$B$36</definedName>
    <definedName name="tt">Leadscrew!$B$25</definedName>
    <definedName name="s">Leadscrew!$B$24</definedName>
    <definedName name="w">Leadscrew!$C$26</definedName>
    <definedName name="sig">Leadscrew!$B$21</definedName>
    <definedName name="T">#REF!</definedName>
    <definedName name="gamtotal">Leadscrew!$B$16</definedName>
    <definedName name="gamthrust">Leadscrew!$B$14</definedName>
    <definedName name="E">Leadscrew!$B$35</definedName>
    <definedName name="thrust">Leadscrew!$B$5</definedName>
    <definedName name="dr">Leadscrew!$C$32</definedName>
    <definedName name="mu">Leadscrew!$B$7</definedName>
    <definedName name="linc">Leadscrew!$B$14</definedName>
    <definedName name="Lm">#REF!</definedName>
    <definedName name="Lead">Leadscrew!$B$6</definedName>
    <definedName name="dscrew">Leadscrew!$B$8</definedName>
    <definedName name="K">Leadscrew!$B$48</definedName>
    <definedName name="Beta">Leadscrew!$B$12</definedName>
    <definedName name="preq">Leadscrew!$B$29</definedName>
    <definedName name="Tm">#REF!</definedName>
    <definedName hidden="1" name="Google_Sheet_Link_1050959011">Lead</definedName>
    <definedName hidden="1" name="Google_Sheet_Link_1159113019">scf</definedName>
    <definedName hidden="1" name="Google_Sheet_Link_1169385317">preq</definedName>
    <definedName hidden="1" name="Google_Sheet_Link_1184325863">tt</definedName>
    <definedName hidden="1" name="Google_Sheet_Link_1232965736">Iinc</definedName>
    <definedName hidden="1" name="Google_Sheet_Link_1297557744">etagearbox</definedName>
    <definedName hidden="1" name="Google_Sheet_Link_1299218004">sigma</definedName>
    <definedName hidden="1" name="Google_Sheet_Link_1399107055">eta</definedName>
    <definedName hidden="1" name="Google_Sheet_Link_1403682284">alpha</definedName>
    <definedName hidden="1" name="Google_Sheet_Link_1421199228">tau</definedName>
    <definedName hidden="1" name="Google_Sheet_Link_1564348329">A</definedName>
    <definedName hidden="1" name="Google_Sheet_Link_1581557540">gamtotal</definedName>
    <definedName hidden="1" name="Google_Sheet_Link_1699801112">gamscrew</definedName>
    <definedName hidden="1" name="Google_Sheet_Link_1705425568">gamthrust</definedName>
    <definedName hidden="1" name="Google_Sheet_Link_175235433">et</definedName>
    <definedName hidden="1" name="Google_Sheet_Link_1814172816">s</definedName>
    <definedName hidden="1" name="Google_Sheet_Link_192199411">thrust</definedName>
    <definedName hidden="1" name="Google_Sheet_Link_1979835087">dscrew</definedName>
    <definedName hidden="1" name="Google_Sheet_Link_1991564119">K</definedName>
    <definedName hidden="1" name="Google_Sheet_Link_2042197850">dr</definedName>
    <definedName hidden="1" name="Google_Sheet_Link_2110111226">w</definedName>
    <definedName hidden="1" name="Google_Sheet_Link_283964490">n</definedName>
    <definedName hidden="1" name="Google_Sheet_Link_36576357">gammotor</definedName>
    <definedName hidden="1" name="Google_Sheet_Link_467440594">linc</definedName>
    <definedName hidden="1" name="Google_Sheet_Link_471788445">rho</definedName>
    <definedName hidden="1" name="Google_Sheet_Link_518072903">sig</definedName>
    <definedName hidden="1" name="Google_Sheet_Link_55906686">I</definedName>
    <definedName hidden="1" name="Google_Sheet_Link_643208778">mu</definedName>
    <definedName hidden="1" name="Google_Sheet_Link_666406412">Beta</definedName>
    <definedName hidden="1" name="Google_Sheet_Link_791085462">L</definedName>
    <definedName hidden="1" name="Google_Sheet_Link_828088338">dthrust</definedName>
    <definedName hidden="1" name="Google_Sheet_Link_924613540">E</definedName>
    <definedName hidden="1" name="Google_Sheet_Link_953856086">etathrust</definedName>
    <definedName hidden="1" name="Google_Sheet_Link_977875888">do</definedName>
  </definedNames>
  <calcPr/>
  <extLst>
    <ext uri="GoogleSheetsCustomDataVersion2">
      <go:sheetsCustomData xmlns:go="http://customooxmlschemas.google.com/" r:id="rId19" roundtripDataChecksum="jBZQs7zzienpNE6SPdyO2OX+edEOmt3iq3BCg1gdcaw="/>
    </ext>
  </extLst>
</workbook>
</file>

<file path=xl/sharedStrings.xml><?xml version="1.0" encoding="utf-8"?>
<sst xmlns="http://schemas.openxmlformats.org/spreadsheetml/2006/main" count="412" uniqueCount="333">
  <si>
    <t>Standing Plate</t>
  </si>
  <si>
    <t>Weight of person (lbs)</t>
  </si>
  <si>
    <t>Weight needed to hold down fixture</t>
  </si>
  <si>
    <t>Ashoe (m^2)</t>
  </si>
  <si>
    <t>Average area of a mens size 10.5 shoe</t>
  </si>
  <si>
    <t>Material of Plate</t>
  </si>
  <si>
    <t>Aluminum 6061</t>
  </si>
  <si>
    <t>Yield stress (MPa)</t>
  </si>
  <si>
    <t>Stress on plate (MPa)</t>
  </si>
  <si>
    <t>Safety factor</t>
  </si>
  <si>
    <t>Pulley System Analysis</t>
  </si>
  <si>
    <t>System Design</t>
  </si>
  <si>
    <t>Force to pull (N)</t>
  </si>
  <si>
    <t>Number of Pulleys</t>
  </si>
  <si>
    <t>Rope load capacity (lbs)</t>
  </si>
  <si>
    <t>Tension in rope (N)</t>
  </si>
  <si>
    <t>Diameter of cable (mm)</t>
  </si>
  <si>
    <t>Diameter of pulley (mm)</t>
  </si>
  <si>
    <t>Pulley/cable diameter ratio</t>
  </si>
  <si>
    <t>The higher the ratio, the longer the life</t>
  </si>
  <si>
    <t>Diameter of pulley rod (mm)</t>
  </si>
  <si>
    <t>Pulley/shaft diameter ratio</t>
  </si>
  <si>
    <t>Coefficient of friction</t>
  </si>
  <si>
    <t>Between pulley and pin/bearing, unsure</t>
  </si>
  <si>
    <t>Distance between center of pulleys (m)</t>
  </si>
  <si>
    <t>Key Questions</t>
  </si>
  <si>
    <t>Will rope fail?</t>
  </si>
  <si>
    <t>Efficiency of each pulley</t>
  </si>
  <si>
    <t>Length of rope (m)</t>
  </si>
  <si>
    <t>Pulley options</t>
  </si>
  <si>
    <t>Fixed pulley</t>
  </si>
  <si>
    <t>option 1</t>
  </si>
  <si>
    <t>https://www.amazon.com/Pullies-Loading-Material-Handling-Project/dp/B09XDK1BDH/ref=sr_1_3?crid=2UZIL27K61F9J&amp;dib=eyJ2IjoiMSJ9.MYwz7pgl-lCbW_5JVI8RpG7iLQKjRlbWi8cN6d1kGVuww6OnnOLbJxOi9ChQsYlf3yTFI2Xji5lomMCuRGaQqevh5k12GOPIROi6QYdiZ8wp5gms6oiZejj9b3OBrIdbMLSnf1HQvKRIQ5gBXAFBliOsYTCOQcpEcFxGwC4YirKNe4hyQ9qsXsVBtdU1i7OmR9Ok9xg30ImvJmfvuYktc08QqQVD3nz67KVu5rcB4BA.sQZubmtdvyCuiV-W0CE4M0ZsriEGNEXJVisaQYrb0bw&amp;dib_tag=se&amp;keywords=fixed%2Bpulley%2Bsmall%2Bfor%2Brope%2Bapplication&amp;qid=1735881691&amp;sprefix=fixed%2Bpulley%2Bsmall%2Bfor%2Brope%2Bapplication%2Caps%2C162&amp;sr=8-3&amp;th=1</t>
  </si>
  <si>
    <t>option 2</t>
  </si>
  <si>
    <t>https://www.amazon.com/Floyutin-Stainless-Lifting-Teaction-Hanging/dp/B0BVZJ2198/ref=sr_1_25?crid=2GA0PXFQML7NA&amp;dib=eyJ2IjoiMSJ9.Xq2HZMKu32WJ7_nXOraYP9CFx6CxDPSDDxDA6-2Z31fXNul-eHVgxSyM_4aOC8iIMTv4Qrn7hUNyf0UzpmlCU6CnvtxDJ5oyfc9vIsjykq90I1G1bjYClBus5kV7rRbHdjeh4Hfw3GVm8uN4D49zH9OE_pH0OwPXNPYctbAiTfL90KUvTh3HU_Taqn6-75S5Ht56UbZxBXuCrdzzCkKGZJpDouIOSWrjn8axabOxvwKVCwca4r7P9VO-9pRcn9I80sYB9RH5xkX9znjyR-Q0Sre-BPAV89Bu0UKX9bIUeTa31sbYBXRcccu7hx2rIYgPv9UlVRUWL-NCsOQMhw3aZB6j7dZNixlR3RAnK1uPPJQ.KzgeWKecXGDGkFeyOZH1xt7n6vz_5SqNB8jaqr8ev1U&amp;dib_tag=se&amp;keywords=m15%2Bsmall%2Bpulley%2Bfor%2Brope&amp;qid=1735882097&amp;s=industrial&amp;sprefix=m15%2Bsmall%2Bpulley%2Bfor%2Brope%2Cindustrial%2C162&amp;sr=1-25&amp;th=1</t>
  </si>
  <si>
    <t>Moving pulley</t>
  </si>
  <si>
    <t>https://www.amazon.com/Silver-Stainless-Wirerope-Traction-Trolley/dp/B0B1Q8K7R8/ref=sr_1_4?crid=1KRUK6246X3H6&amp;dib=eyJ2IjoiMSJ9.t5GnnC0YZq75S11hzE0doKGXOPCddam6k-FleCZlSt2LXMlgXyIbylr4eVWykOTGTBENEbJMGN-2Dslr2QskoyqKP71aZoavj-KHwGc79ShLnC0vBVcmKFIWjDVsLCPS7b9YIv2-kGw2MLmZIRBHhRLFPIcxaFKQZJz0h8GliTpXfvywfDLH2bDhtAxJQEDNYZOZ1E6luFF2_JMKnwUH76KE2dzhe-2B_14FxB5E6CdjT5hdZlPKJrSHYBnydiM7djtjS9peXJugYSJwI4q0jSt0cy8eSuN9l2OSUO0A3RhKMK2hxWdRlfeW83-A3xNx_NuLT4-C3FAusHqB6Z-R0rlA0qiWKT70gVHWYeQ0_gE.GGL3qWgJX55G0acDLPOavwPR_qAbZn4qljz-Ld0JOUQ&amp;dib_tag=se&amp;keywords=pulley%2Bsmall%2Bfor%2Brope&amp;qid=1735881985&amp;s=industrial&amp;sprefix=pulley%2Bsmall%2Bfor%2Brope%2Cindustrial%2C170&amp;sr=1-4&amp;th=1</t>
  </si>
  <si>
    <t>https://www.amazon.com/Rocaris-Stainless-Double-Lifting-Hanging/dp/B07WVYCPMQ/ref=sr_1_8?crid=2GA0PXFQML7NA&amp;dib=eyJ2IjoiMSJ9.Xq2HZMKu32WJ7_nXOraYP9CFx6CxDPSDDxDA6-2Z31fXNul-eHVgxSyM_4aOC8iIMTv4Qrn7hUNyf0UzpmlCU6CnvtxDJ5oyfc9vIsjykq90I1G1bjYClBus5kV7rRbHdjeh4Hfw3GVm8uN4D49zH9OE_pH0OwPXNPYctbAiTfL90KUvTh3HU_Taqn6-75S5Ht56UbZxBXuCrdzzCkKGZJpDouIOSWrjn8axabOxvwKVCwca4r7P9VO-9pRcn9I80sYB9RH5xkX9znjyR-Q0Sre-BPAV89Bu0UKX9bIUeTa31sbYBXRcccu7hx2rIYgPv9UlVRUWL-NCsOQMhw3aZB6j7dZNixlR3RAnK1uPPJQ.KzgeWKecXGDGkFeyOZH1xt7n6vz_5SqNB8jaqr8ev1U&amp;dib_tag=se&amp;keywords=m15%2Bsmall%2Bpulley%2Bfor%2Brope&amp;qid=1735882097&amp;s=industrial&amp;sprefix=m15%2Bsmall%2Bpulley%2Bfor%2Brope%2Cindustrial%2C162&amp;sr=1-8&amp;th=1</t>
  </si>
  <si>
    <t>option 3</t>
  </si>
  <si>
    <r>
      <rPr>
        <rFont val="arial, helvetica, sans-serif"/>
        <b/>
        <color rgb="FF1155CC"/>
        <sz val="9.0"/>
        <u/>
      </rPr>
      <t>3213T1</t>
    </r>
    <r>
      <rPr>
        <rFont val="arial, helvetica, sans-serif"/>
        <b/>
        <sz val="9.0"/>
      </rPr>
      <t>1</t>
    </r>
  </si>
  <si>
    <t>Rope options</t>
  </si>
  <si>
    <r>
      <rPr>
        <rFont val="arial, helvetica, sans-serif"/>
        <b/>
        <color rgb="FF1155CC"/>
        <sz val="9.0"/>
        <u/>
      </rPr>
      <t>3790T2</t>
    </r>
    <r>
      <rPr>
        <rFont val="arial, helvetica, sans-serif"/>
        <b/>
        <sz val="9.0"/>
      </rPr>
      <t>7</t>
    </r>
  </si>
  <si>
    <t>3837T33</t>
  </si>
  <si>
    <t>4529N21</t>
  </si>
  <si>
    <t>Leadscrew Specs</t>
  </si>
  <si>
    <t>Lead (mm)</t>
  </si>
  <si>
    <t>Leadscrew diameter (mm)</t>
  </si>
  <si>
    <t>Thread angle (theta), alpha (rad)</t>
  </si>
  <si>
    <t>Friction coefficient, mu</t>
  </si>
  <si>
    <t>Thread root stress concentration, scf</t>
  </si>
  <si>
    <t>NEED TO CALCULATE STRESS</t>
  </si>
  <si>
    <t>Young's Modulus, E (GPa)</t>
  </si>
  <si>
    <t>Moment of intertia, I</t>
  </si>
  <si>
    <t>Length, L (m)</t>
  </si>
  <si>
    <t>Torque to Turn vs. Force Applied</t>
  </si>
  <si>
    <t>Leadscrew force/thrust (N)</t>
  </si>
  <si>
    <t>Torque to turn (Nm)</t>
  </si>
  <si>
    <t>Max stress (MPa)</t>
  </si>
  <si>
    <t>Cycles before fatigue, N</t>
  </si>
  <si>
    <t>&gt;10e9</t>
  </si>
  <si>
    <t>Backdrivability</t>
  </si>
  <si>
    <t>Critical buckling load (N)</t>
  </si>
  <si>
    <t>Spring Specs</t>
  </si>
  <si>
    <t>Compression distance, x (mm)</t>
  </si>
  <si>
    <t>Human loading torque (Nm)</t>
  </si>
  <si>
    <t>Number of turns until compression, N</t>
  </si>
  <si>
    <t>x=N*l</t>
  </si>
  <si>
    <t>Spring constant, k (N/m), (lb/in)</t>
  </si>
  <si>
    <t>Black = Input</t>
  </si>
  <si>
    <t>Bold = Set Value</t>
  </si>
  <si>
    <t>Red = Output</t>
  </si>
  <si>
    <t>Spring</t>
  </si>
  <si>
    <t>Spring constant, k (N/m)</t>
  </si>
  <si>
    <t>Compression distance, x (m)</t>
  </si>
  <si>
    <t>Spring energy (J)</t>
  </si>
  <si>
    <t>Damper Material</t>
  </si>
  <si>
    <t>Compressive strength (MPa)</t>
  </si>
  <si>
    <t>Elastic modulus (MPa)</t>
  </si>
  <si>
    <t>Stress Analysis</t>
  </si>
  <si>
    <t>Force (N)</t>
  </si>
  <si>
    <t>Area of damper (mm^2)</t>
  </si>
  <si>
    <t>Radius (mm)</t>
  </si>
  <si>
    <t>Energy absorbed (J)</t>
  </si>
  <si>
    <t>Stack 3 dampers</t>
  </si>
  <si>
    <t>Hinges are typically rated to a load based on how they would be loaded if used for a door</t>
  </si>
  <si>
    <t>We are loading the hinges the opposite way, so first lets see if our way would cause more or less stress on hinge</t>
  </si>
  <si>
    <t>General Setup</t>
  </si>
  <si>
    <t>Hinge 1</t>
  </si>
  <si>
    <r>
      <rPr>
        <rFont val="arial, helvetica, sans-serif"/>
        <b/>
        <color rgb="FF1155CC"/>
        <sz val="9.0"/>
        <u/>
      </rPr>
      <t>47065T53</t>
    </r>
    <r>
      <rPr>
        <rFont val="arial, helvetica, sans-serif"/>
        <b/>
        <sz val="9.0"/>
      </rPr>
      <t>9</t>
    </r>
  </si>
  <si>
    <t>Door Loading</t>
  </si>
  <si>
    <t>Our loading</t>
  </si>
  <si>
    <t>Stress door</t>
  </si>
  <si>
    <t>Stress ours</t>
  </si>
  <si>
    <t>Door</t>
  </si>
  <si>
    <t>Ours</t>
  </si>
  <si>
    <t>Conclusion: If hinge is rated for a certain load for a door, it can definitely handle that load for our loading condition</t>
  </si>
  <si>
    <t>Comparing Different Hinges</t>
  </si>
  <si>
    <t xml:space="preserve">Hinge  </t>
  </si>
  <si>
    <t>Part Number</t>
  </si>
  <si>
    <t>Max Stress (MPa)</t>
  </si>
  <si>
    <t>Material</t>
  </si>
  <si>
    <t>Yield Stress</t>
  </si>
  <si>
    <t>Safety Factor</t>
  </si>
  <si>
    <t>Cost ($)</t>
  </si>
  <si>
    <r>
      <rPr>
        <rFont val="arial, helvetica, sans-serif"/>
        <b/>
        <color rgb="FF1155CC"/>
        <sz val="9.0"/>
        <u/>
      </rPr>
      <t>47065T53</t>
    </r>
    <r>
      <rPr>
        <rFont val="arial, helvetica, sans-serif"/>
        <b/>
        <sz val="9.0"/>
      </rPr>
      <t>9</t>
    </r>
  </si>
  <si>
    <t>Anodized Aluminum</t>
  </si>
  <si>
    <t>Hinge 2</t>
  </si>
  <si>
    <r>
      <rPr>
        <rFont val="arial, helvetica, sans-serif"/>
        <color rgb="FF1155CC"/>
        <sz val="9.0"/>
        <u/>
      </rPr>
      <t>5537T85</t>
    </r>
    <r>
      <rPr>
        <rFont val="arial, helvetica, sans-serif"/>
        <sz val="9.0"/>
      </rPr>
      <t>9</t>
    </r>
  </si>
  <si>
    <t>Lacquer-Coated Aluminum</t>
  </si>
  <si>
    <t>Hinge 3</t>
  </si>
  <si>
    <t>6812N508</t>
  </si>
  <si>
    <t>Aluminum</t>
  </si>
  <si>
    <t>Hinge 4</t>
  </si>
  <si>
    <t>47065T345</t>
  </si>
  <si>
    <t>Hinge Pin</t>
  </si>
  <si>
    <t>Hinge options</t>
  </si>
  <si>
    <r>
      <rPr>
        <rFont val="arial, helvetica, sans-serif"/>
        <b/>
        <color rgb="FF1155CC"/>
        <sz val="9.0"/>
        <u/>
      </rPr>
      <t>47065T53</t>
    </r>
    <r>
      <rPr>
        <rFont val="arial, helvetica, sans-serif"/>
        <b/>
        <sz val="9.0"/>
      </rPr>
      <t>9</t>
    </r>
  </si>
  <si>
    <t>Load F (N)</t>
  </si>
  <si>
    <r>
      <rPr>
        <color rgb="FF1155CC"/>
        <u/>
      </rPr>
      <t>16175A37</t>
    </r>
  </si>
  <si>
    <t>Length (m)</t>
  </si>
  <si>
    <t>Distance between holes b (m)</t>
  </si>
  <si>
    <t>Diameter of rod D (m)</t>
  </si>
  <si>
    <t>Low-carbon steel</t>
  </si>
  <si>
    <t>SF</t>
  </si>
  <si>
    <t>N cycles until fatigue</t>
  </si>
  <si>
    <t>Runout</t>
  </si>
  <si>
    <t>If time analyze the top and bottom piece, if not its fine bc the rod is the most likely to fail</t>
  </si>
  <si>
    <t>Rod</t>
  </si>
  <si>
    <t>Shaft Specs</t>
  </si>
  <si>
    <t>Length of total shaft, L (mm)</t>
  </si>
  <si>
    <t>Maximum Moment Approach</t>
  </si>
  <si>
    <t>Diameter, D (mm)</t>
  </si>
  <si>
    <t>(0.5 in)</t>
  </si>
  <si>
    <t>Does shaft yield?</t>
  </si>
  <si>
    <t>System</t>
  </si>
  <si>
    <t>Applied force, F (N)</t>
  </si>
  <si>
    <t>Applied torque, T (N/m)</t>
  </si>
  <si>
    <t>Shear Stress Check</t>
  </si>
  <si>
    <t>Yield torsional stress (MPa)</t>
  </si>
  <si>
    <t>Diameter</t>
  </si>
  <si>
    <t>Archive</t>
  </si>
  <si>
    <t>Yield Approach</t>
  </si>
  <si>
    <t xml:space="preserve">Required moment of inertia, I </t>
  </si>
  <si>
    <t>Deflection Approach</t>
  </si>
  <si>
    <t>Deflect less than (mm)</t>
  </si>
  <si>
    <t>Required moment of inertia, I</t>
  </si>
  <si>
    <t>Minimum diameter (mm)</t>
  </si>
  <si>
    <t>Max Moment Approach</t>
  </si>
  <si>
    <t>Radius (m)</t>
  </si>
  <si>
    <t>Diameter (mm)</t>
  </si>
  <si>
    <t>(5/8 in)</t>
  </si>
  <si>
    <t>Does rod yield?</t>
  </si>
  <si>
    <t>SHOULD BE &gt;3</t>
  </si>
  <si>
    <t>Force, F (N)</t>
  </si>
  <si>
    <t>Length of each shaft (mm)</t>
  </si>
  <si>
    <t>Minimum Diameter (mm)</t>
  </si>
  <si>
    <t>Vertical Loading Condition</t>
  </si>
  <si>
    <t>Vertical Loading</t>
  </si>
  <si>
    <t>Load (N)</t>
  </si>
  <si>
    <t>Beam length (m)</t>
  </si>
  <si>
    <t>Beam height (m)</t>
  </si>
  <si>
    <t>Beam thickness (m)</t>
  </si>
  <si>
    <t>Beam material</t>
  </si>
  <si>
    <t>Aluminum 6061-T6</t>
  </si>
  <si>
    <t>Material Yield Stress (MPa)</t>
  </si>
  <si>
    <t>Inertia</t>
  </si>
  <si>
    <t>Vertical Condition</t>
  </si>
  <si>
    <t>Justification: An arch is stronger than a beam of the same length, so if the beam is ok then the arch is ok</t>
  </si>
  <si>
    <t>S-N Curve Aluminum</t>
  </si>
  <si>
    <t>S-N Curve Fatigue</t>
  </si>
  <si>
    <t>N (cycles before fatigue)</t>
  </si>
  <si>
    <t>&gt;1e9</t>
  </si>
  <si>
    <t>22.5 Degree Condition</t>
  </si>
  <si>
    <t>Max stress</t>
  </si>
  <si>
    <t>Clearance</t>
  </si>
  <si>
    <t>Clearance at end</t>
  </si>
  <si>
    <t>Bearing radius (mm)</t>
  </si>
  <si>
    <t>22.5 Degree Loading</t>
  </si>
  <si>
    <t>Max angle change (radians)</t>
  </si>
  <si>
    <t>Horizontal clearance needed (mm)</t>
  </si>
  <si>
    <t>Fatigue Curves</t>
  </si>
  <si>
    <t>Stress Analysis Curved Bar</t>
  </si>
  <si>
    <t xml:space="preserve">Thickness  </t>
  </si>
  <si>
    <t>Thickness (mm)</t>
  </si>
  <si>
    <t>Max deflection (mm)</t>
  </si>
  <si>
    <t>Questions</t>
  </si>
  <si>
    <t>1. Arches are widely studied and analyzed, there is likely a way to do this with a calculation (by hand). Do you have any resources you would recommend for this?</t>
  </si>
  <si>
    <t>2. In general with analysis, how do you know when you should calculate by hand vs use FEA? Or should you always aim to do both to check your work?</t>
  </si>
  <si>
    <t>3. How do you define failure criteria for a part. In mechanics classes, we learn about failure criteria of a part, but this is when the material literally snaps or plastically deforms. If we don't want our part to get anywhere near that point, what do we define "failure" as? Do we use a factor of safety with regards to the yield stress to define this? Do we use a certain deflection?</t>
  </si>
  <si>
    <t>Comments to self</t>
  </si>
  <si>
    <t>Fixed at 2 ends on the bottom surface</t>
  </si>
  <si>
    <t>Load applied at hole surface</t>
  </si>
  <si>
    <t>Applied 2000N, but now realize there will be two bars so the force is split between them, meaning that I only need to apply 1000N in the analysis</t>
  </si>
  <si>
    <t>Stresses at Diff Angles</t>
  </si>
  <si>
    <t>0 degrees</t>
  </si>
  <si>
    <t>22.5 degrees</t>
  </si>
  <si>
    <t>This seems high...</t>
  </si>
  <si>
    <t>45 degrees</t>
  </si>
  <si>
    <t>Also seems high...</t>
  </si>
  <si>
    <t>For conservative estimates, we use the moment of inertia of the inner square of the T-slot bracket</t>
  </si>
  <si>
    <t>T-Bracket Specs</t>
  </si>
  <si>
    <t>Length of total shaft, L (m)</t>
  </si>
  <si>
    <t>Base of square, b (mm)</t>
  </si>
  <si>
    <t xml:space="preserve">Moment of inertia (square), I_square </t>
  </si>
  <si>
    <t>Predicted stress (MPa)</t>
  </si>
  <si>
    <t>Hollow circle diameter, d (mm)</t>
  </si>
  <si>
    <t>Moment of inertia (hollow square), I_hollow</t>
  </si>
  <si>
    <t>Base Frame Stress Analysis: Hollow vs Solid</t>
  </si>
  <si>
    <t>Resource</t>
  </si>
  <si>
    <t>https://skyciv.com/free-beam-calculator/</t>
  </si>
  <si>
    <t>Top horizontal member orange</t>
  </si>
  <si>
    <t>Could be useful to check our work</t>
  </si>
  <si>
    <t>Distance between curved bars a (m)</t>
  </si>
  <si>
    <t>Length of beam (m)</t>
  </si>
  <si>
    <t>Height of beam (m)</t>
  </si>
  <si>
    <t>Ihollow (kgm^2)</t>
  </si>
  <si>
    <t>Isolid (kgm^2d)</t>
  </si>
  <si>
    <t>Max stress hollow (MPa)</t>
  </si>
  <si>
    <t>Max stress solid (MPa)</t>
  </si>
  <si>
    <t>Hollow is lighter and cheaper, so go with hollow</t>
  </si>
  <si>
    <t>Vertical members red and pink</t>
  </si>
  <si>
    <t>Ahollow (m^2)</t>
  </si>
  <si>
    <t>Asolid (m^2)</t>
  </si>
  <si>
    <t>Top bracket orange:</t>
  </si>
  <si>
    <t>Horizontal members yellow and blue</t>
  </si>
  <si>
    <t>Distance between holes on hinge piece a (m)</t>
  </si>
  <si>
    <t>height of beam (m)</t>
  </si>
  <si>
    <t>Isolid (kgm^2)</t>
  </si>
  <si>
    <t>Bottom horizontal members yellow and blue</t>
  </si>
  <si>
    <t>Plate Connected to Spring</t>
  </si>
  <si>
    <t>https://mechanicsmap.psu.edu/websites/7_friction/7-6_disc_friction/discfriction.html</t>
  </si>
  <si>
    <t>Bold = Input</t>
  </si>
  <si>
    <t>Purple = Calculated</t>
  </si>
  <si>
    <t>Spring + Plate FBD</t>
  </si>
  <si>
    <t>Inputs</t>
  </si>
  <si>
    <t>Spring Material</t>
  </si>
  <si>
    <t>Spring tempered steel</t>
  </si>
  <si>
    <t>2000N Spring</t>
  </si>
  <si>
    <t>Plate material</t>
  </si>
  <si>
    <t>Delrin</t>
  </si>
  <si>
    <t>Kinetic friction coefficient between plate and spring</t>
  </si>
  <si>
    <t>Friction Coefficient Source</t>
  </si>
  <si>
    <t>Vertical load (N)</t>
  </si>
  <si>
    <t>Inner radius spring (m)</t>
  </si>
  <si>
    <t>Outer radius spring (m)</t>
  </si>
  <si>
    <t>Spring shear modulus (GPa)</t>
  </si>
  <si>
    <t>Shear Modulus Source</t>
  </si>
  <si>
    <t>Polar Moment of Inertia of spring</t>
  </si>
  <si>
    <t>Hollow quarter-circle (approximation)</t>
  </si>
  <si>
    <t>Length of spring (m)</t>
  </si>
  <si>
    <t>Torsional Stiffness spring</t>
  </si>
  <si>
    <t>Shear Strength (MPa)</t>
  </si>
  <si>
    <t>Source Shear Strength</t>
  </si>
  <si>
    <t>Moment on spring (Nm)</t>
  </si>
  <si>
    <t>Shear stress (MPa)</t>
  </si>
  <si>
    <t>Will spring material shear?</t>
  </si>
  <si>
    <t>Moment Exerted on Spring</t>
  </si>
  <si>
    <t>Angle of twist</t>
  </si>
  <si>
    <t>Shear Stress + Angle of Twist</t>
  </si>
  <si>
    <t>Design Change to Fix Issue</t>
  </si>
  <si>
    <t>Plastic tube with slots</t>
  </si>
  <si>
    <t>Washer with tabs</t>
  </si>
  <si>
    <t>Bar Specs</t>
  </si>
  <si>
    <t>Shear strength (MPa)</t>
  </si>
  <si>
    <t>Shear modulus (GPa)</t>
  </si>
  <si>
    <t>Young's modudlus, E (GPa)</t>
  </si>
  <si>
    <t>Shear from Torque</t>
  </si>
  <si>
    <t>Moment of inertia, I</t>
  </si>
  <si>
    <t>Shear force (MPa)</t>
  </si>
  <si>
    <t>Torsional stiffness</t>
  </si>
  <si>
    <t>Twist angle</t>
  </si>
  <si>
    <t>Will shaft shear?</t>
  </si>
  <si>
    <t>Torque exerted (N/m)</t>
  </si>
  <si>
    <t>Buckling</t>
  </si>
  <si>
    <t>Buckling load</t>
  </si>
  <si>
    <t>Will it buckle?</t>
  </si>
  <si>
    <t>leadscrew_design.xls</t>
  </si>
  <si>
    <t>To design leadscrews</t>
  </si>
  <si>
    <t>By Alex Slocum, last modified 2/12/04 by Alex Slocum</t>
  </si>
  <si>
    <r>
      <rPr>
        <rFont val="Times New Roman"/>
        <color theme="1"/>
        <sz val="10.0"/>
      </rPr>
      <t xml:space="preserve">Enter numbers in </t>
    </r>
    <r>
      <rPr>
        <rFont val="Times New Roman"/>
        <b/>
        <color theme="1"/>
        <sz val="10.0"/>
      </rPr>
      <t>BOLD,</t>
    </r>
    <r>
      <rPr>
        <rFont val="Times New Roman"/>
        <color theme="1"/>
        <sz val="10.0"/>
      </rPr>
      <t xml:space="preserve"> output in </t>
    </r>
    <r>
      <rPr>
        <rFont val="Times New Roman"/>
        <b/>
        <color rgb="FFFF0000"/>
        <sz val="10.0"/>
      </rPr>
      <t>RED</t>
    </r>
  </si>
  <si>
    <t>Force (no help from gravity), thrust (N)</t>
  </si>
  <si>
    <t>Backdriveability</t>
  </si>
  <si>
    <t>Raising torque</t>
  </si>
  <si>
    <t>Lead, (mm)</t>
  </si>
  <si>
    <t>Coefficient of friction, mu</t>
  </si>
  <si>
    <t>Screw pitch diameter, dscrew (mm)</t>
  </si>
  <si>
    <t>Thrust bearing diameter, dthrust (mm)</t>
  </si>
  <si>
    <t>Thread angle (deg), alpha (rad)</t>
  </si>
  <si>
    <t>Beta</t>
  </si>
  <si>
    <t>Torque required at screw, gamscrew (N-mm)</t>
  </si>
  <si>
    <t>Torque required at thrust bearing, gamthrust(N-mm)</t>
  </si>
  <si>
    <t>Thrust bearing efficiency, etathrust</t>
  </si>
  <si>
    <t>Total torque, gamtotal (N-mm)</t>
  </si>
  <si>
    <t>Backdriveable?</t>
  </si>
  <si>
    <t>Thread efficiency to generate force, et</t>
  </si>
  <si>
    <t>Total system efficiency, eta</t>
  </si>
  <si>
    <t>Estimated torsional stress, tau (N/mm^2)</t>
  </si>
  <si>
    <t>Tensile stress, sig (N/mm^2)</t>
  </si>
  <si>
    <t>Mises equivelant stress, sigma (N/mm^2)</t>
  </si>
  <si>
    <t>Gearbox ratio, n</t>
  </si>
  <si>
    <t>Travel, s (mm)</t>
  </si>
  <si>
    <t>Time to travel, tt (s)</t>
  </si>
  <si>
    <t>Motor speed, w (rpm, rad/s)</t>
  </si>
  <si>
    <t>Gearbox efficiency, etagearbox</t>
  </si>
  <si>
    <t>Motor torque, gammotor (N-mm)</t>
  </si>
  <si>
    <t>Power, Preq (watts)</t>
  </si>
  <si>
    <t>Shaft Stability</t>
  </si>
  <si>
    <t>Travel length L (mm, m)</t>
  </si>
  <si>
    <t>root diameter dr (mm, m)</t>
  </si>
  <si>
    <t>for leadscrews (else enter root diameter same as outer diameter)</t>
  </si>
  <si>
    <t>outer diameter do (mm, m)</t>
  </si>
  <si>
    <t>density rho (kg/m^3)</t>
  </si>
  <si>
    <t>Modulus E (M/m^2)</t>
  </si>
  <si>
    <t>Area A</t>
  </si>
  <si>
    <t>based on diameter</t>
  </si>
  <si>
    <t>Inertia I (m^4)</t>
  </si>
  <si>
    <t>based on root diameter</t>
  </si>
  <si>
    <t>Cantilevered</t>
  </si>
  <si>
    <t>Simply Supported</t>
  </si>
  <si>
    <t>Fixed-simple</t>
  </si>
  <si>
    <t>fixed-fixed</t>
  </si>
  <si>
    <t>Buckling load (N)</t>
  </si>
  <si>
    <t>First critical frequency (rpm)</t>
  </si>
  <si>
    <t>2nd critical frequency (rpm)</t>
  </si>
  <si>
    <t>3rd critical frequency (rpm)</t>
  </si>
  <si>
    <t>4th critical frequency (rpm)</t>
  </si>
  <si>
    <t>linc</t>
  </si>
  <si>
    <t>Shaft support K</t>
  </si>
  <si>
    <t>Unsupported shaft length (m)</t>
  </si>
  <si>
    <t>Position/L(m)</t>
  </si>
  <si>
    <t>Critical Speed (rpm)</t>
  </si>
  <si>
    <t>wn (rad/sec)</t>
  </si>
  <si>
    <t>Travel (m)</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</si>
</sst>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000"/>
    <numFmt numFmtId="165" formatCode="0.0"/>
    <numFmt numFmtId="166" formatCode="0.0000"/>
    <numFmt numFmtId="167" formatCode="0.00000000"/>
    <numFmt numFmtId="168" formatCode="0.0000000"/>
    <numFmt numFmtId="169" formatCode="0.000000"/>
  </numFmts>
  <fonts count="32">
    <font>
      <sz val="10.0"/>
      <color rgb="FF000000"/>
      <name val="Arimo"/>
      <scheme val="minor"/>
    </font>
    <font>
      <color theme="1"/>
      <name val="Arimo"/>
      <scheme val="minor"/>
    </font>
    <font>
      <b/>
      <color theme="1"/>
      <name val="Arimo"/>
      <scheme val="minor"/>
    </font>
    <font>
      <color rgb="FF9900FF"/>
      <name val="Arimo"/>
      <scheme val="minor"/>
    </font>
    <font>
      <color rgb="FF000000"/>
    </font>
    <font>
      <u/>
      <color rgb="FF467886"/>
    </font>
    <font>
      <u/>
      <color rgb="FF0000FF"/>
    </font>
    <font>
      <b/>
      <u/>
      <sz val="9.0"/>
      <color rgb="FF0000FF"/>
      <name val="Arial"/>
    </font>
    <font>
      <b/>
      <u/>
      <sz val="9.0"/>
      <color rgb="FF0000FF"/>
      <name val="Arial"/>
    </font>
    <font>
      <u/>
      <color rgb="FF0000FF"/>
    </font>
    <font>
      <u/>
      <color rgb="FF0000FF"/>
    </font>
    <font>
      <b/>
      <sz val="10.0"/>
      <color theme="1"/>
      <name val="Arimo"/>
    </font>
    <font>
      <u/>
      <color rgb="FF467886"/>
      <name val="Arimo"/>
      <scheme val="minor"/>
    </font>
    <font>
      <sz val="10.0"/>
      <color theme="1"/>
      <name val="Arimo"/>
    </font>
    <font>
      <sz val="10.0"/>
      <color rgb="FFFF0000"/>
      <name val="Arimo"/>
    </font>
    <font>
      <color rgb="FFFF0000"/>
      <name val="Arimo"/>
      <scheme val="minor"/>
    </font>
    <font>
      <b/>
      <sz val="9.0"/>
      <color theme="1"/>
      <name val="Arial"/>
    </font>
    <font>
      <u/>
      <sz val="9.0"/>
      <color rgb="FF0000FF"/>
      <name val="Arial"/>
    </font>
    <font>
      <sz val="9.0"/>
      <color theme="1"/>
      <name val="Arial"/>
    </font>
    <font>
      <b/>
      <u/>
      <sz val="9.0"/>
      <color rgb="FF0000FF"/>
      <name val="Arial"/>
    </font>
    <font>
      <sz val="9.0"/>
      <color rgb="FF1155CC"/>
      <name val="&quot;Google Sans Mono&quot;"/>
    </font>
    <font>
      <b/>
      <sz val="10.0"/>
      <color rgb="FF000000"/>
      <name val="Arimo"/>
    </font>
    <font>
      <color rgb="FF000000"/>
      <name val="Arimo"/>
      <scheme val="minor"/>
    </font>
    <font>
      <sz val="10.0"/>
      <color rgb="FF000000"/>
      <name val="Arimo"/>
    </font>
    <font>
      <sz val="9.0"/>
      <color rgb="FF000000"/>
      <name val="&quot;Google Sans Mono&quot;"/>
    </font>
    <font>
      <sz val="9.0"/>
      <color rgb="FF1F1F1F"/>
      <name val="&quot;Google Sans&quot;"/>
    </font>
    <font>
      <u/>
      <color rgb="FF0000FF"/>
    </font>
    <font>
      <b/>
      <color rgb="FF000000"/>
      <name val="Arimo"/>
      <scheme val="minor"/>
    </font>
    <font>
      <b/>
      <sz val="10.0"/>
      <color theme="1"/>
      <name val="Times New Roman"/>
    </font>
    <font/>
    <font>
      <sz val="10.0"/>
      <color theme="1"/>
      <name val="Times New Roman"/>
    </font>
    <font>
      <b/>
      <sz val="10.0"/>
      <color rgb="FFFF0000"/>
      <name val="Times New Roman"/>
    </font>
  </fonts>
  <fills count="6">
    <fill>
      <patternFill patternType="none"/>
    </fill>
    <fill>
      <patternFill patternType="lightGray"/>
    </fill>
    <fill>
      <patternFill patternType="solid">
        <fgColor rgb="FF00FF00"/>
        <bgColor rgb="FF00FF00"/>
      </patternFill>
    </fill>
    <fill>
      <patternFill patternType="solid">
        <fgColor rgb="FFFFFF00"/>
        <bgColor rgb="FFFFFF00"/>
      </patternFill>
    </fill>
    <fill>
      <patternFill patternType="solid">
        <fgColor rgb="FFFFFFFF"/>
        <bgColor rgb="FFFFFFFF"/>
      </patternFill>
    </fill>
    <fill>
      <patternFill patternType="solid">
        <fgColor rgb="FFF4CCCC"/>
        <bgColor rgb="FFF4CCCC"/>
      </patternFill>
    </fill>
  </fills>
  <borders count="10">
    <border/>
    <border>
      <left style="thin">
        <color rgb="FFC0C0C0"/>
      </left>
      <right style="thin">
        <color rgb="FFC0C0C0"/>
      </right>
      <top style="thin">
        <color rgb="FFC0C0C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3" numFmtId="0" xfId="0" applyAlignment="1" applyFont="1">
      <alignment readingOrder="0"/>
    </xf>
    <xf borderId="0" fillId="0" fontId="1" numFmtId="164" xfId="0" applyFont="1" applyNumberFormat="1"/>
    <xf borderId="0" fillId="0" fontId="1" numFmtId="165" xfId="0" applyFont="1" applyNumberFormat="1"/>
    <xf borderId="0" fillId="0" fontId="1" numFmtId="0" xfId="0" applyFont="1"/>
    <xf borderId="0" fillId="0" fontId="1" numFmtId="2" xfId="0" applyAlignment="1" applyFont="1" applyNumberFormat="1">
      <alignment readingOrder="0"/>
    </xf>
    <xf borderId="0" fillId="0" fontId="1" numFmtId="2" xfId="0" applyFont="1" applyNumberFormat="1"/>
    <xf borderId="0" fillId="0" fontId="1" numFmtId="0" xfId="0" applyAlignment="1" applyFont="1">
      <alignment horizontal="right"/>
    </xf>
    <xf borderId="0" fillId="0" fontId="4" numFmtId="0" xfId="0" applyAlignment="1" applyFont="1">
      <alignment readingOrder="0"/>
    </xf>
    <xf borderId="0" fillId="0" fontId="5" numFmtId="0" xfId="0" applyAlignment="1" applyFont="1">
      <alignment readingOrder="0"/>
    </xf>
    <xf borderId="0" fillId="0" fontId="6" numFmtId="0" xfId="0" applyAlignment="1" applyFont="1">
      <alignment readingOrder="0"/>
    </xf>
    <xf borderId="1" fillId="2" fontId="7" numFmtId="0" xfId="0" applyAlignment="1" applyBorder="1" applyFill="1" applyFont="1">
      <alignment horizontal="left" readingOrder="0" shrinkToFit="0" vertical="bottom" wrapText="0"/>
    </xf>
    <xf borderId="1" fillId="0" fontId="8" numFmtId="0" xfId="0" applyAlignment="1" applyBorder="1" applyFont="1">
      <alignment horizontal="left" readingOrder="0" shrinkToFit="0" vertical="bottom" wrapText="0"/>
    </xf>
    <xf borderId="0" fillId="0" fontId="9" numFmtId="0" xfId="0" applyAlignment="1" applyFont="1">
      <alignment readingOrder="0"/>
    </xf>
    <xf borderId="0" fillId="2" fontId="10" numFmtId="0" xfId="0" applyAlignment="1" applyFont="1">
      <alignment readingOrder="0"/>
    </xf>
    <xf borderId="0" fillId="0" fontId="11" numFmtId="0" xfId="0" applyAlignment="1" applyFont="1">
      <alignment shrinkToFit="0" vertical="bottom" wrapText="0"/>
    </xf>
    <xf borderId="0" fillId="0" fontId="12" numFmtId="0" xfId="0" applyAlignment="1" applyFont="1">
      <alignment readingOrder="0"/>
    </xf>
    <xf borderId="0" fillId="0" fontId="13" numFmtId="0" xfId="0" applyAlignment="1" applyFont="1">
      <alignment shrinkToFit="0" vertical="bottom" wrapText="0"/>
    </xf>
    <xf borderId="0" fillId="0" fontId="14" numFmtId="164" xfId="0" applyAlignment="1" applyFont="1" applyNumberFormat="1">
      <alignment shrinkToFit="0" vertical="bottom" wrapText="0"/>
    </xf>
    <xf borderId="0" fillId="0" fontId="15" numFmtId="2" xfId="0" applyFont="1" applyNumberFormat="1"/>
    <xf borderId="0" fillId="0" fontId="14" numFmtId="0" xfId="0" applyAlignment="1" applyFont="1">
      <alignment shrinkToFit="0" vertical="bottom" wrapText="0"/>
    </xf>
    <xf borderId="0" fillId="0" fontId="15" numFmtId="165" xfId="0" applyFont="1" applyNumberFormat="1"/>
    <xf borderId="0" fillId="0" fontId="15" numFmtId="0" xfId="0" applyAlignment="1" applyFont="1">
      <alignment horizontal="right" readingOrder="0"/>
    </xf>
    <xf borderId="0" fillId="0" fontId="14" numFmtId="0" xfId="0" applyAlignment="1" applyFont="1">
      <alignment horizontal="right" shrinkToFit="0" vertical="bottom" wrapText="0"/>
    </xf>
    <xf borderId="0" fillId="0" fontId="15" numFmtId="1" xfId="0" applyFont="1" applyNumberFormat="1"/>
    <xf borderId="0" fillId="0" fontId="13" numFmtId="0" xfId="0" applyAlignment="1" applyFont="1">
      <alignment readingOrder="0" shrinkToFit="0" vertical="bottom" wrapText="0"/>
    </xf>
    <xf borderId="0" fillId="0" fontId="11" numFmtId="0" xfId="0" applyAlignment="1" applyFont="1">
      <alignment readingOrder="0" shrinkToFit="0" vertical="bottom" wrapText="0"/>
    </xf>
    <xf borderId="0" fillId="0" fontId="13" numFmtId="1" xfId="0" applyAlignment="1" applyFont="1" applyNumberFormat="1">
      <alignment readingOrder="0" shrinkToFit="0" vertical="bottom" wrapText="0"/>
    </xf>
    <xf borderId="0" fillId="0" fontId="14" numFmtId="1" xfId="0" applyAlignment="1" applyFont="1" applyNumberFormat="1">
      <alignment shrinkToFit="0" vertical="bottom" wrapText="0"/>
    </xf>
    <xf borderId="0" fillId="0" fontId="15" numFmtId="0" xfId="0" applyFont="1"/>
    <xf borderId="1" fillId="0" fontId="16" numFmtId="0" xfId="0" applyAlignment="1" applyBorder="1" applyFont="1">
      <alignment horizontal="left" readingOrder="0" shrinkToFit="0" vertical="bottom" wrapText="0"/>
    </xf>
    <xf borderId="1" fillId="0" fontId="17" numFmtId="0" xfId="0" applyAlignment="1" applyBorder="1" applyFont="1">
      <alignment horizontal="left" readingOrder="0" shrinkToFit="0" vertical="bottom" wrapText="0"/>
    </xf>
    <xf borderId="1" fillId="0" fontId="18" numFmtId="0" xfId="0" applyAlignment="1" applyBorder="1" applyFont="1">
      <alignment horizontal="left" readingOrder="0" shrinkToFit="0" vertical="bottom" wrapText="0"/>
    </xf>
    <xf borderId="1" fillId="0" fontId="19" numFmtId="0" xfId="0" applyAlignment="1" applyBorder="1" applyFont="1">
      <alignment horizontal="left" readingOrder="0" shrinkToFit="0" vertical="bottom" wrapText="0"/>
    </xf>
    <xf borderId="0" fillId="0" fontId="1" numFmtId="1" xfId="0" applyFont="1" applyNumberFormat="1"/>
    <xf borderId="0" fillId="0" fontId="1" numFmtId="0" xfId="0" applyAlignment="1" applyFont="1">
      <alignment horizontal="center" readingOrder="0"/>
    </xf>
    <xf borderId="0" fillId="0" fontId="1" numFmtId="11" xfId="0" applyAlignment="1" applyFont="1" applyNumberFormat="1">
      <alignment readingOrder="0"/>
    </xf>
    <xf borderId="0" fillId="3" fontId="1" numFmtId="0" xfId="0" applyAlignment="1" applyFill="1" applyFont="1">
      <alignment readingOrder="0"/>
    </xf>
    <xf borderId="0" fillId="4" fontId="20" numFmtId="0" xfId="0" applyFill="1" applyFont="1"/>
    <xf borderId="0" fillId="0" fontId="13" numFmtId="0" xfId="0" applyAlignment="1" applyFont="1">
      <alignment readingOrder="0" shrinkToFit="0" vertical="bottom" wrapText="0"/>
    </xf>
    <xf borderId="0" fillId="0" fontId="14" numFmtId="165" xfId="0" applyAlignment="1" applyFont="1" applyNumberFormat="1">
      <alignment shrinkToFit="0" vertical="bottom" wrapText="0"/>
    </xf>
    <xf borderId="0" fillId="0" fontId="14" numFmtId="2" xfId="0" applyAlignment="1" applyFont="1" applyNumberFormat="1">
      <alignment shrinkToFit="0" vertical="bottom" wrapText="0"/>
    </xf>
    <xf borderId="0" fillId="0" fontId="1" numFmtId="0" xfId="0" applyAlignment="1" applyFont="1">
      <alignment horizontal="right" readingOrder="0"/>
    </xf>
    <xf borderId="0" fillId="0" fontId="21" numFmtId="0" xfId="0" applyAlignment="1" applyFont="1">
      <alignment readingOrder="0" shrinkToFit="0" vertical="bottom" wrapText="0"/>
    </xf>
    <xf borderId="0" fillId="0" fontId="14" numFmtId="0" xfId="0" applyAlignment="1" applyFont="1">
      <alignment readingOrder="0" shrinkToFit="0" vertical="bottom" wrapText="0"/>
    </xf>
    <xf borderId="0" fillId="0" fontId="13" numFmtId="1" xfId="0" applyAlignment="1" applyFont="1" applyNumberFormat="1">
      <alignment shrinkToFit="0" vertical="bottom" wrapText="0"/>
    </xf>
    <xf borderId="0" fillId="5" fontId="11" numFmtId="0" xfId="0" applyAlignment="1" applyFill="1" applyFont="1">
      <alignment readingOrder="0" shrinkToFit="0" vertical="bottom" wrapText="0"/>
    </xf>
    <xf borderId="0" fillId="5" fontId="11" numFmtId="0" xfId="0" applyAlignment="1" applyFont="1">
      <alignment shrinkToFit="0" vertical="bottom" wrapText="0"/>
    </xf>
    <xf borderId="0" fillId="5" fontId="13" numFmtId="0" xfId="0" applyAlignment="1" applyFont="1">
      <alignment readingOrder="0" shrinkToFit="0" vertical="bottom" wrapText="0"/>
    </xf>
    <xf borderId="0" fillId="5" fontId="14" numFmtId="164" xfId="0" applyAlignment="1" applyFont="1" applyNumberFormat="1">
      <alignment shrinkToFit="0" vertical="bottom" wrapText="0"/>
    </xf>
    <xf borderId="0" fillId="5" fontId="14" numFmtId="2" xfId="0" applyAlignment="1" applyFont="1" applyNumberFormat="1">
      <alignment shrinkToFit="0" vertical="bottom" wrapText="0"/>
    </xf>
    <xf borderId="0" fillId="5" fontId="13" numFmtId="0" xfId="0" applyAlignment="1" applyFont="1">
      <alignment readingOrder="0" shrinkToFit="0" vertical="bottom" wrapText="0"/>
    </xf>
    <xf borderId="0" fillId="5" fontId="14" numFmtId="166" xfId="0" applyAlignment="1" applyFont="1" applyNumberFormat="1">
      <alignment shrinkToFit="0" vertical="bottom" wrapText="0"/>
    </xf>
    <xf borderId="0" fillId="5" fontId="15" numFmtId="2" xfId="0" applyFont="1" applyNumberFormat="1"/>
    <xf borderId="0" fillId="0" fontId="22" numFmtId="2" xfId="0" applyAlignment="1" applyFont="1" applyNumberFormat="1">
      <alignment readingOrder="0"/>
    </xf>
    <xf borderId="0" fillId="0" fontId="15" numFmtId="0" xfId="0" applyAlignment="1" applyFont="1">
      <alignment horizontal="right"/>
    </xf>
    <xf borderId="0" fillId="5" fontId="2" numFmtId="0" xfId="0" applyAlignment="1" applyFont="1">
      <alignment readingOrder="0"/>
    </xf>
    <xf borderId="0" fillId="5" fontId="1" numFmtId="0" xfId="0" applyFont="1"/>
    <xf borderId="0" fillId="5" fontId="14" numFmtId="0" xfId="0" applyAlignment="1" applyFont="1">
      <alignment shrinkToFit="0" vertical="bottom" wrapText="0"/>
    </xf>
    <xf borderId="0" fillId="5" fontId="1" numFmtId="0" xfId="0" applyAlignment="1" applyFont="1">
      <alignment readingOrder="0"/>
    </xf>
    <xf borderId="0" fillId="5" fontId="23" numFmtId="0" xfId="0" applyAlignment="1" applyFont="1">
      <alignment readingOrder="0" shrinkToFit="0" vertical="bottom" wrapText="0"/>
    </xf>
    <xf borderId="0" fillId="3" fontId="1" numFmtId="0" xfId="0" applyFont="1"/>
    <xf borderId="0" fillId="4" fontId="24" numFmtId="0" xfId="0" applyAlignment="1" applyFont="1">
      <alignment readingOrder="0"/>
    </xf>
    <xf borderId="0" fillId="2" fontId="1" numFmtId="0" xfId="0" applyAlignment="1" applyFont="1">
      <alignment readingOrder="0"/>
    </xf>
    <xf borderId="0" fillId="0" fontId="1" numFmtId="0" xfId="0" applyAlignment="1" applyFont="1">
      <alignment readingOrder="0" shrinkToFit="0" wrapText="1"/>
    </xf>
    <xf borderId="0" fillId="0" fontId="14" numFmtId="167" xfId="0" applyAlignment="1" applyFont="1" applyNumberFormat="1">
      <alignment shrinkToFit="0" vertical="bottom" wrapText="0"/>
    </xf>
    <xf borderId="0" fillId="0" fontId="1" numFmtId="0" xfId="0" applyAlignment="1" applyFont="1">
      <alignment shrinkToFit="0" wrapText="1"/>
    </xf>
    <xf borderId="0" fillId="4" fontId="24" numFmtId="0" xfId="0" applyFont="1"/>
    <xf borderId="0" fillId="3" fontId="1" numFmtId="0" xfId="0" applyAlignment="1" applyFont="1">
      <alignment readingOrder="0" shrinkToFit="0" wrapText="1"/>
    </xf>
    <xf borderId="0" fillId="4" fontId="25" numFmtId="0" xfId="0" applyAlignment="1" applyFont="1">
      <alignment readingOrder="0"/>
    </xf>
    <xf borderId="0" fillId="0" fontId="1" numFmtId="0" xfId="0" applyAlignment="1" applyFont="1">
      <alignment horizontal="center" vertical="center"/>
    </xf>
    <xf borderId="0" fillId="0" fontId="2" numFmtId="0" xfId="0" applyAlignment="1" applyFont="1">
      <alignment horizontal="left" readingOrder="0" vertical="center"/>
    </xf>
    <xf borderId="0" fillId="0" fontId="3" numFmtId="0" xfId="0" applyAlignment="1" applyFont="1">
      <alignment horizontal="left" readingOrder="0" vertical="center"/>
    </xf>
    <xf borderId="0" fillId="0" fontId="1" numFmtId="0" xfId="0" applyAlignment="1" applyFont="1">
      <alignment horizontal="left" readingOrder="0" vertical="center"/>
    </xf>
    <xf borderId="0" fillId="0" fontId="1" numFmtId="0" xfId="0" applyAlignment="1" applyFont="1">
      <alignment horizontal="right" readingOrder="0" vertical="center"/>
    </xf>
    <xf borderId="0" fillId="0" fontId="2" numFmtId="0" xfId="0" applyAlignment="1" applyFont="1">
      <alignment horizontal="left" readingOrder="0" shrinkToFit="0" vertical="center" wrapText="1"/>
    </xf>
    <xf borderId="0" fillId="0" fontId="26" numFmtId="0" xfId="0" applyAlignment="1" applyFont="1">
      <alignment readingOrder="0" shrinkToFit="0" wrapText="1"/>
    </xf>
    <xf borderId="0" fillId="0" fontId="15" numFmtId="0" xfId="0" applyAlignment="1" applyFont="1">
      <alignment horizontal="left" readingOrder="0" vertical="center"/>
    </xf>
    <xf borderId="0" fillId="0" fontId="15" numFmtId="168" xfId="0" applyAlignment="1" applyFont="1" applyNumberFormat="1">
      <alignment horizontal="right" vertical="center"/>
    </xf>
    <xf borderId="0" fillId="0" fontId="1" numFmtId="2" xfId="0" applyAlignment="1" applyFont="1" applyNumberFormat="1">
      <alignment horizontal="right" readingOrder="0" vertical="center"/>
    </xf>
    <xf borderId="0" fillId="0" fontId="15" numFmtId="2" xfId="0" applyAlignment="1" applyFont="1" applyNumberFormat="1">
      <alignment horizontal="right" vertical="center"/>
    </xf>
    <xf borderId="0" fillId="0" fontId="1" numFmtId="0" xfId="0" applyAlignment="1" applyFont="1">
      <alignment horizontal="left" vertical="center"/>
    </xf>
    <xf borderId="0" fillId="0" fontId="1" numFmtId="0" xfId="0" applyAlignment="1" applyFont="1">
      <alignment horizontal="right" vertical="center"/>
    </xf>
    <xf borderId="0" fillId="0" fontId="15" numFmtId="0" xfId="0" applyAlignment="1" applyFont="1">
      <alignment horizontal="left" readingOrder="0" shrinkToFit="0" vertical="center" wrapText="1"/>
    </xf>
    <xf borderId="0" fillId="0" fontId="15" numFmtId="0" xfId="0" applyAlignment="1" applyFont="1">
      <alignment horizontal="right" vertical="center"/>
    </xf>
    <xf borderId="0" fillId="0" fontId="15" numFmtId="169" xfId="0" applyAlignment="1" applyFont="1" applyNumberFormat="1">
      <alignment horizontal="right" vertical="center"/>
    </xf>
    <xf borderId="0" fillId="0" fontId="27" numFmtId="1" xfId="0" applyAlignment="1" applyFont="1" applyNumberFormat="1">
      <alignment readingOrder="0"/>
    </xf>
    <xf borderId="0" fillId="0" fontId="22" numFmtId="1" xfId="0" applyAlignment="1" applyFont="1" applyNumberFormat="1">
      <alignment readingOrder="0"/>
    </xf>
    <xf borderId="2" fillId="0" fontId="28" numFmtId="0" xfId="0" applyAlignment="1" applyBorder="1" applyFont="1">
      <alignment horizontal="left" shrinkToFit="0" vertical="bottom" wrapText="0"/>
    </xf>
    <xf borderId="3" fillId="0" fontId="29" numFmtId="0" xfId="0" applyBorder="1" applyFont="1"/>
    <xf borderId="4" fillId="0" fontId="29" numFmtId="0" xfId="0" applyBorder="1" applyFont="1"/>
    <xf borderId="0" fillId="0" fontId="30" numFmtId="0" xfId="0" applyAlignment="1" applyFont="1">
      <alignment shrinkToFit="0" vertical="bottom" wrapText="0"/>
    </xf>
    <xf borderId="2" fillId="0" fontId="30" numFmtId="0" xfId="0" applyAlignment="1" applyBorder="1" applyFont="1">
      <alignment horizontal="left" shrinkToFit="0" vertical="bottom" wrapText="0"/>
    </xf>
    <xf borderId="5" fillId="0" fontId="30" numFmtId="0" xfId="0" applyAlignment="1" applyBorder="1" applyFont="1">
      <alignment horizontal="left" shrinkToFit="0" vertical="bottom" wrapText="0"/>
    </xf>
    <xf borderId="6" fillId="0" fontId="29" numFmtId="0" xfId="0" applyBorder="1" applyFont="1"/>
    <xf borderId="7" fillId="0" fontId="29" numFmtId="0" xfId="0" applyBorder="1" applyFont="1"/>
    <xf borderId="8" fillId="0" fontId="30" numFmtId="0" xfId="0" applyAlignment="1" applyBorder="1" applyFont="1">
      <alignment shrinkToFit="0" vertical="bottom" wrapText="0"/>
    </xf>
    <xf borderId="8" fillId="0" fontId="28" numFmtId="0" xfId="0" applyAlignment="1" applyBorder="1" applyFont="1">
      <alignment shrinkToFit="0" vertical="bottom" wrapText="0"/>
    </xf>
    <xf borderId="9" fillId="0" fontId="30" numFmtId="0" xfId="0" applyAlignment="1" applyBorder="1" applyFont="1">
      <alignment shrinkToFit="0" vertical="bottom" wrapText="0"/>
    </xf>
    <xf borderId="9" fillId="0" fontId="28" numFmtId="0" xfId="0" applyAlignment="1" applyBorder="1" applyFont="1">
      <alignment shrinkToFit="0" vertical="bottom" wrapText="0"/>
    </xf>
    <xf borderId="9" fillId="0" fontId="30" numFmtId="11" xfId="0" applyAlignment="1" applyBorder="1" applyFont="1" applyNumberFormat="1">
      <alignment shrinkToFit="0" vertical="bottom" wrapText="0"/>
    </xf>
    <xf borderId="9" fillId="0" fontId="31" numFmtId="164" xfId="0" applyAlignment="1" applyBorder="1" applyFont="1" applyNumberFormat="1">
      <alignment shrinkToFit="0" vertical="bottom" wrapText="0"/>
    </xf>
    <xf borderId="9" fillId="0" fontId="31" numFmtId="0" xfId="0" applyAlignment="1" applyBorder="1" applyFont="1">
      <alignment shrinkToFit="0" vertical="bottom" wrapText="0"/>
    </xf>
    <xf borderId="9" fillId="0" fontId="31" numFmtId="3" xfId="0" applyAlignment="1" applyBorder="1" applyFont="1" applyNumberFormat="1">
      <alignment shrinkToFit="0" vertical="bottom" wrapText="0"/>
    </xf>
    <xf borderId="9" fillId="0" fontId="30" numFmtId="2" xfId="0" applyAlignment="1" applyBorder="1" applyFont="1" applyNumberFormat="1">
      <alignment shrinkToFit="0" vertical="bottom" wrapText="0"/>
    </xf>
    <xf borderId="0" fillId="0" fontId="31" numFmtId="9" xfId="0" applyAlignment="1" applyFont="1" applyNumberFormat="1">
      <alignment shrinkToFit="0" vertical="bottom" wrapText="0"/>
    </xf>
    <xf borderId="9" fillId="0" fontId="31" numFmtId="3" xfId="0" applyAlignment="1" applyBorder="1" applyFont="1" applyNumberFormat="1">
      <alignment horizontal="right" shrinkToFit="0" vertical="bottom" wrapText="0"/>
    </xf>
    <xf borderId="9" fillId="0" fontId="31" numFmtId="9" xfId="0" applyAlignment="1" applyBorder="1" applyFont="1" applyNumberFormat="1">
      <alignment horizontal="right" shrinkToFit="0" vertical="bottom" wrapText="0"/>
    </xf>
    <xf borderId="9" fillId="0" fontId="31" numFmtId="4" xfId="0" applyAlignment="1" applyBorder="1" applyFont="1" applyNumberFormat="1">
      <alignment shrinkToFit="0" vertical="bottom" wrapText="0"/>
    </xf>
    <xf borderId="9" fillId="0" fontId="31" numFmtId="2" xfId="0" applyAlignment="1" applyBorder="1" applyFont="1" applyNumberFormat="1">
      <alignment shrinkToFit="0" vertical="bottom" wrapText="0"/>
    </xf>
    <xf borderId="9" fillId="0" fontId="31" numFmtId="1" xfId="0" applyAlignment="1" applyBorder="1" applyFont="1" applyNumberFormat="1">
      <alignment shrinkToFit="0" vertical="bottom" wrapText="0"/>
    </xf>
    <xf borderId="9" fillId="0" fontId="28" numFmtId="9" xfId="0" applyAlignment="1" applyBorder="1" applyFont="1" applyNumberFormat="1">
      <alignment shrinkToFit="0" vertical="bottom" wrapText="0"/>
    </xf>
    <xf borderId="0" fillId="0" fontId="30" numFmtId="1" xfId="0" applyAlignment="1" applyFont="1" applyNumberFormat="1">
      <alignment shrinkToFit="0" vertical="bottom" wrapText="0"/>
    </xf>
    <xf borderId="0" fillId="0" fontId="28" numFmtId="0" xfId="0" applyAlignment="1" applyFont="1">
      <alignment shrinkToFit="0" vertical="bottom" wrapText="0"/>
    </xf>
    <xf borderId="0" fillId="0" fontId="31" numFmtId="0" xfId="0" applyAlignment="1" applyFont="1">
      <alignment shrinkToFit="0" vertical="bottom" wrapText="0"/>
    </xf>
    <xf borderId="0" fillId="0" fontId="31" numFmtId="164" xfId="0" applyAlignment="1" applyFont="1" applyNumberFormat="1">
      <alignment shrinkToFit="0" vertical="bottom" wrapText="0"/>
    </xf>
    <xf borderId="0" fillId="0" fontId="28" numFmtId="11" xfId="0" applyAlignment="1" applyFont="1" applyNumberFormat="1">
      <alignment shrinkToFit="0" vertical="bottom" wrapText="0"/>
    </xf>
    <xf borderId="0" fillId="0" fontId="30" numFmtId="0" xfId="0" applyAlignment="1" applyFont="1">
      <alignment horizontal="center" shrinkToFit="0" vertical="bottom" wrapText="0"/>
    </xf>
    <xf borderId="0" fillId="0" fontId="31" numFmtId="1" xfId="0" applyAlignment="1" applyFont="1" applyNumberFormat="1">
      <alignment shrinkToFit="0" vertical="bottom" wrapText="0"/>
    </xf>
    <xf borderId="0" fillId="0" fontId="31" numFmtId="166" xfId="0" applyAlignment="1" applyFont="1" applyNumberFormat="1">
      <alignment shrinkToFit="0" vertical="bottom" wrapText="0"/>
    </xf>
    <xf borderId="0" fillId="0" fontId="30" numFmtId="2" xfId="0" applyAlignment="1" applyFont="1" applyNumberFormat="1">
      <alignment shrinkToFit="0" vertical="bottom" wrapText="0"/>
    </xf>
    <xf borderId="0" fillId="0" fontId="30" numFmtId="166" xfId="0" applyAlignment="1" applyFont="1" applyNumberForma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customschemas.google.com/relationships/workbookmetadata" Target="metadata"/><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scatterChart>
        <c:scatterStyle val="lineMarker"/>
        <c:varyColors val="0"/>
        <c:ser>
          <c:idx val="0"/>
          <c:order val="0"/>
          <c:tx>
            <c:strRef>
              <c:f>Leadscrew!$C$50</c:f>
            </c:strRef>
          </c:tx>
          <c:spPr>
            <a:ln>
              <a:noFill/>
            </a:ln>
          </c:spPr>
          <c:marker>
            <c:symbol val="circle"/>
            <c:size val="7"/>
            <c:spPr>
              <a:solidFill>
                <a:srgbClr val="000080"/>
              </a:solidFill>
              <a:ln cmpd="sng">
                <a:solidFill>
                  <a:srgbClr val="000080"/>
                </a:solidFill>
              </a:ln>
            </c:spPr>
          </c:marker>
          <c:xVal>
            <c:numRef>
              <c:f>Leadscrew!$B$51:$B$75</c:f>
            </c:numRef>
          </c:xVal>
          <c:yVal>
            <c:numRef>
              <c:f>Leadscrew!$C$51:$C$75</c:f>
              <c:numCache/>
            </c:numRef>
          </c:yVal>
        </c:ser>
        <c:dLbls>
          <c:showLegendKey val="0"/>
          <c:showVal val="0"/>
          <c:showCatName val="0"/>
          <c:showSerName val="0"/>
          <c:showPercent val="0"/>
          <c:showBubbleSize val="0"/>
        </c:dLbls>
        <c:axId val="1712102274"/>
        <c:axId val="978786316"/>
      </c:scatterChart>
      <c:valAx>
        <c:axId val="1712102274"/>
        <c:scaling>
          <c:orientation val="minMax"/>
          <c:max val="1.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i="0" sz="1200">
                    <a:solidFill>
                      <a:srgbClr val="000000"/>
                    </a:solidFill>
                    <a:latin typeface="+mn-lt"/>
                  </a:defRPr>
                </a:pPr>
                <a:r>
                  <a:rPr b="0" i="0" sz="1200">
                    <a:solidFill>
                      <a:srgbClr val="000000"/>
                    </a:solidFill>
                    <a:latin typeface="+mn-lt"/>
                  </a:rPr>
                  <a:t>Position (m)</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78786316"/>
      </c:valAx>
      <c:valAx>
        <c:axId val="978786316"/>
        <c:scaling>
          <c:orientation val="minMax"/>
          <c:max val="800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i="0" sz="1200">
                    <a:solidFill>
                      <a:srgbClr val="000000"/>
                    </a:solidFill>
                    <a:latin typeface="+mn-lt"/>
                  </a:defRPr>
                </a:pPr>
                <a:r>
                  <a:rPr b="0" i="0" sz="1200">
                    <a:solidFill>
                      <a:srgbClr val="000000"/>
                    </a:solidFill>
                    <a:latin typeface="+mn-lt"/>
                  </a:rPr>
                  <a:t>Critical Speed (rpm)</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12102274"/>
      </c:valAx>
    </c:plotArea>
  </c:chart>
  <c:spPr>
    <a:solidFill>
      <a:srgbClr val="FFFFFF"/>
    </a:solidFill>
  </c:spPr>
</c:chartSpace>
</file>

<file path=xl/drawings/_rels/drawing10.xml.rels><?xml version="1.0" encoding="UTF-8" standalone="yes"?><Relationships xmlns="http://schemas.openxmlformats.org/package/2006/relationships"><Relationship Id="rId1" Type="http://schemas.openxmlformats.org/officeDocument/2006/relationships/image" Target="../media/image37.png"/><Relationship Id="rId2" Type="http://schemas.openxmlformats.org/officeDocument/2006/relationships/image" Target="../media/image32.png"/><Relationship Id="rId3" Type="http://schemas.openxmlformats.org/officeDocument/2006/relationships/image" Target="../media/image22.png"/><Relationship Id="rId4" Type="http://schemas.openxmlformats.org/officeDocument/2006/relationships/image" Target="../media/image31.png"/><Relationship Id="rId5" Type="http://schemas.openxmlformats.org/officeDocument/2006/relationships/image" Target="../media/image28.png"/><Relationship Id="rId6" Type="http://schemas.openxmlformats.org/officeDocument/2006/relationships/image" Target="../media/image2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 Id="rId2" Type="http://schemas.openxmlformats.org/officeDocument/2006/relationships/image" Target="../media/image39.png"/><Relationship Id="rId3" Type="http://schemas.openxmlformats.org/officeDocument/2006/relationships/image" Target="../media/image47.png"/><Relationship Id="rId4" Type="http://schemas.openxmlformats.org/officeDocument/2006/relationships/image" Target="../media/image38.jpg"/><Relationship Id="rId5" Type="http://schemas.openxmlformats.org/officeDocument/2006/relationships/image" Target="../media/image48.jpg"/><Relationship Id="rId6" Type="http://schemas.openxmlformats.org/officeDocument/2006/relationships/image" Target="../media/image42.png"/><Relationship Id="rId7" Type="http://schemas.openxmlformats.org/officeDocument/2006/relationships/image" Target="../media/image44.jpg"/></Relationships>
</file>

<file path=xl/drawings/_rels/drawing13.xml.rels><?xml version="1.0" encoding="UTF-8" standalone="yes"?><Relationships xmlns="http://schemas.openxmlformats.org/package/2006/relationships"><Relationship Id="rId1" Type="http://schemas.openxmlformats.org/officeDocument/2006/relationships/image" Target="../media/image46.png"/><Relationship Id="rId2" Type="http://schemas.openxmlformats.org/officeDocument/2006/relationships/image" Target="../media/image33.png"/><Relationship Id="rId3" Type="http://schemas.openxmlformats.org/officeDocument/2006/relationships/image" Target="../media/image41.png"/><Relationship Id="rId4" Type="http://schemas.openxmlformats.org/officeDocument/2006/relationships/image" Target="../media/image36.png"/><Relationship Id="rId5" Type="http://schemas.openxmlformats.org/officeDocument/2006/relationships/image" Target="../media/image35.png"/><Relationship Id="rId6" Type="http://schemas.openxmlformats.org/officeDocument/2006/relationships/image" Target="../media/image50.png"/><Relationship Id="rId7" Type="http://schemas.openxmlformats.org/officeDocument/2006/relationships/image" Target="../media/image4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1.png"/><Relationship Id="rId2" Type="http://schemas.openxmlformats.org/officeDocument/2006/relationships/image" Target="../media/image36.png"/><Relationship Id="rId3" Type="http://schemas.openxmlformats.org/officeDocument/2006/relationships/image" Target="../media/image35.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4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5.jpg"/></Relationships>
</file>

<file path=xl/drawings/_rels/drawing3.xml.rels><?xml version="1.0" encoding="UTF-8" standalone="yes"?><Relationships xmlns="http://schemas.openxmlformats.org/package/2006/relationships"><Relationship Id="rId1" Type="http://schemas.openxmlformats.org/officeDocument/2006/relationships/image" Target="../media/image13.jpg"/><Relationship Id="rId2" Type="http://schemas.openxmlformats.org/officeDocument/2006/relationships/image" Target="../media/image1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 Id="rId2" Type="http://schemas.openxmlformats.org/officeDocument/2006/relationships/image" Target="../media/image12.png"/><Relationship Id="rId3" Type="http://schemas.openxmlformats.org/officeDocument/2006/relationships/image" Target="../media/image8.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29.jpg"/><Relationship Id="rId2" Type="http://schemas.openxmlformats.org/officeDocument/2006/relationships/image" Target="../media/image3.png"/><Relationship Id="rId3" Type="http://schemas.openxmlformats.org/officeDocument/2006/relationships/image" Target="../media/image26.jpg"/></Relationships>
</file>

<file path=xl/drawings/_rels/drawing7.xml.rels><?xml version="1.0" encoding="UTF-8" standalone="yes"?><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6.png"/><Relationship Id="rId3" Type="http://schemas.openxmlformats.org/officeDocument/2006/relationships/image" Target="../media/image7.png"/><Relationship Id="rId4" Type="http://schemas.openxmlformats.org/officeDocument/2006/relationships/image" Target="../media/image2.png"/><Relationship Id="rId5" Type="http://schemas.openxmlformats.org/officeDocument/2006/relationships/image" Target="../media/image17.png"/><Relationship Id="rId6"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6.png"/><Relationship Id="rId3" Type="http://schemas.openxmlformats.org/officeDocument/2006/relationships/image" Target="../media/image10.pn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19.png"/><Relationship Id="rId2" Type="http://schemas.openxmlformats.org/officeDocument/2006/relationships/image" Target="../media/image18.png"/><Relationship Id="rId3" Type="http://schemas.openxmlformats.org/officeDocument/2006/relationships/image" Target="../media/image27.jpg"/><Relationship Id="rId4" Type="http://schemas.openxmlformats.org/officeDocument/2006/relationships/image" Target="../media/image30.jpg"/><Relationship Id="rId5" Type="http://schemas.openxmlformats.org/officeDocument/2006/relationships/image" Target="../media/image21.png"/><Relationship Id="rId6" Type="http://schemas.openxmlformats.org/officeDocument/2006/relationships/image" Target="../media/image24.png"/><Relationship Id="rId7" Type="http://schemas.openxmlformats.org/officeDocument/2006/relationships/image" Target="../media/image3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0.png"/><Relationship Id="rId2"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21</xdr:row>
      <xdr:rowOff>9525</xdr:rowOff>
    </xdr:from>
    <xdr:ext cx="6115050" cy="2667000"/>
    <xdr:pic>
      <xdr:nvPicPr>
        <xdr:cNvPr id="0" name="image37.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4</xdr:row>
      <xdr:rowOff>9525</xdr:rowOff>
    </xdr:from>
    <xdr:ext cx="6276975" cy="2552700"/>
    <xdr:pic>
      <xdr:nvPicPr>
        <xdr:cNvPr id="0" name="image3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39</xdr:row>
      <xdr:rowOff>28575</xdr:rowOff>
    </xdr:from>
    <xdr:ext cx="6467475" cy="2733675"/>
    <xdr:pic>
      <xdr:nvPicPr>
        <xdr:cNvPr id="0" name="image22.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0</xdr:colOff>
      <xdr:row>58</xdr:row>
      <xdr:rowOff>38100</xdr:rowOff>
    </xdr:from>
    <xdr:ext cx="6115050" cy="3219450"/>
    <xdr:pic>
      <xdr:nvPicPr>
        <xdr:cNvPr id="0" name="image31.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0</xdr:colOff>
      <xdr:row>78</xdr:row>
      <xdr:rowOff>19050</xdr:rowOff>
    </xdr:from>
    <xdr:ext cx="5819775" cy="2733675"/>
    <xdr:pic>
      <xdr:nvPicPr>
        <xdr:cNvPr id="0" name="image28.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0</xdr:colOff>
      <xdr:row>95</xdr:row>
      <xdr:rowOff>38100</xdr:rowOff>
    </xdr:from>
    <xdr:ext cx="5915025" cy="2733675"/>
    <xdr:pic>
      <xdr:nvPicPr>
        <xdr:cNvPr id="0" name="image23.png" title="Image"/>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895350</xdr:colOff>
      <xdr:row>4</xdr:row>
      <xdr:rowOff>142875</xdr:rowOff>
    </xdr:from>
    <xdr:ext cx="3657600" cy="2543175"/>
    <xdr:pic>
      <xdr:nvPicPr>
        <xdr:cNvPr id="0" name="image20.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161925</xdr:colOff>
      <xdr:row>3</xdr:row>
      <xdr:rowOff>28575</xdr:rowOff>
    </xdr:from>
    <xdr:ext cx="4057650" cy="2847975"/>
    <xdr:pic>
      <xdr:nvPicPr>
        <xdr:cNvPr id="0" name="image39.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381000</xdr:colOff>
      <xdr:row>31</xdr:row>
      <xdr:rowOff>57150</xdr:rowOff>
    </xdr:from>
    <xdr:ext cx="3181350" cy="1466850"/>
    <xdr:pic>
      <xdr:nvPicPr>
        <xdr:cNvPr id="0" name="image47.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895350</xdr:colOff>
      <xdr:row>40</xdr:row>
      <xdr:rowOff>180975</xdr:rowOff>
    </xdr:from>
    <xdr:ext cx="3438525" cy="2667000"/>
    <xdr:pic>
      <xdr:nvPicPr>
        <xdr:cNvPr id="0" name="image38.jp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962025</xdr:colOff>
      <xdr:row>21</xdr:row>
      <xdr:rowOff>19050</xdr:rowOff>
    </xdr:from>
    <xdr:ext cx="3800475" cy="2076450"/>
    <xdr:pic>
      <xdr:nvPicPr>
        <xdr:cNvPr id="0" name="image48.jp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28575</xdr:colOff>
      <xdr:row>71</xdr:row>
      <xdr:rowOff>95250</xdr:rowOff>
    </xdr:from>
    <xdr:ext cx="2695575" cy="1171575"/>
    <xdr:pic>
      <xdr:nvPicPr>
        <xdr:cNvPr id="0" name="image42.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5</xdr:col>
      <xdr:colOff>962025</xdr:colOff>
      <xdr:row>58</xdr:row>
      <xdr:rowOff>104775</xdr:rowOff>
    </xdr:from>
    <xdr:ext cx="2743200" cy="2324100"/>
    <xdr:pic>
      <xdr:nvPicPr>
        <xdr:cNvPr id="0" name="image44.jpg" title="Image"/>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952500</xdr:colOff>
      <xdr:row>22</xdr:row>
      <xdr:rowOff>114300</xdr:rowOff>
    </xdr:from>
    <xdr:ext cx="3486150" cy="1009650"/>
    <xdr:pic>
      <xdr:nvPicPr>
        <xdr:cNvPr id="0" name="image46.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9525</xdr:colOff>
      <xdr:row>27</xdr:row>
      <xdr:rowOff>104775</xdr:rowOff>
    </xdr:from>
    <xdr:ext cx="2667000" cy="1009650"/>
    <xdr:pic>
      <xdr:nvPicPr>
        <xdr:cNvPr id="0" name="image3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9525</xdr:colOff>
      <xdr:row>34</xdr:row>
      <xdr:rowOff>161925</xdr:rowOff>
    </xdr:from>
    <xdr:ext cx="1447800" cy="1114425"/>
    <xdr:pic>
      <xdr:nvPicPr>
        <xdr:cNvPr id="0" name="image4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1590675</xdr:colOff>
      <xdr:row>34</xdr:row>
      <xdr:rowOff>57150</xdr:rowOff>
    </xdr:from>
    <xdr:ext cx="1381125" cy="1114425"/>
    <xdr:pic>
      <xdr:nvPicPr>
        <xdr:cNvPr id="0" name="image36.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7</xdr:col>
      <xdr:colOff>228600</xdr:colOff>
      <xdr:row>34</xdr:row>
      <xdr:rowOff>161925</xdr:rowOff>
    </xdr:from>
    <xdr:ext cx="1057275" cy="1009650"/>
    <xdr:pic>
      <xdr:nvPicPr>
        <xdr:cNvPr id="0" name="image35.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5</xdr:col>
      <xdr:colOff>9525</xdr:colOff>
      <xdr:row>4</xdr:row>
      <xdr:rowOff>295275</xdr:rowOff>
    </xdr:from>
    <xdr:ext cx="4810125" cy="3057525"/>
    <xdr:pic>
      <xdr:nvPicPr>
        <xdr:cNvPr id="0" name="image50.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4</xdr:col>
      <xdr:colOff>952500</xdr:colOff>
      <xdr:row>43</xdr:row>
      <xdr:rowOff>190500</xdr:rowOff>
    </xdr:from>
    <xdr:ext cx="2343150" cy="2381250"/>
    <xdr:pic>
      <xdr:nvPicPr>
        <xdr:cNvPr id="0" name="image49.png" title="Image"/>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142875</xdr:colOff>
      <xdr:row>3</xdr:row>
      <xdr:rowOff>180975</xdr:rowOff>
    </xdr:from>
    <xdr:ext cx="838200" cy="647700"/>
    <xdr:pic>
      <xdr:nvPicPr>
        <xdr:cNvPr id="0" name="image4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161925</xdr:colOff>
      <xdr:row>13</xdr:row>
      <xdr:rowOff>180975</xdr:rowOff>
    </xdr:from>
    <xdr:ext cx="800100" cy="647700"/>
    <xdr:pic>
      <xdr:nvPicPr>
        <xdr:cNvPr id="0" name="image36.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228600</xdr:colOff>
      <xdr:row>10</xdr:row>
      <xdr:rowOff>142875</xdr:rowOff>
    </xdr:from>
    <xdr:ext cx="666750" cy="647700"/>
    <xdr:pic>
      <xdr:nvPicPr>
        <xdr:cNvPr id="0" name="image35.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238125</xdr:colOff>
      <xdr:row>40</xdr:row>
      <xdr:rowOff>9525</xdr:rowOff>
    </xdr:from>
    <xdr:ext cx="5219700" cy="4276725"/>
    <xdr:graphicFrame>
      <xdr:nvGraphicFramePr>
        <xdr:cNvPr descr="Chart 0" id="748232245"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504825</xdr:colOff>
      <xdr:row>13</xdr:row>
      <xdr:rowOff>133350</xdr:rowOff>
    </xdr:from>
    <xdr:ext cx="5372100" cy="2381250"/>
    <xdr:pic>
      <xdr:nvPicPr>
        <xdr:cNvPr id="0" name="image45.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942975</xdr:colOff>
      <xdr:row>16</xdr:row>
      <xdr:rowOff>28575</xdr:rowOff>
    </xdr:from>
    <xdr:ext cx="2714625" cy="12668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942975</xdr:colOff>
      <xdr:row>1</xdr:row>
      <xdr:rowOff>171450</xdr:rowOff>
    </xdr:from>
    <xdr:ext cx="2000250" cy="2524125"/>
    <xdr:pic>
      <xdr:nvPicPr>
        <xdr:cNvPr id="0" name="image25.jp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666750</xdr:colOff>
      <xdr:row>15</xdr:row>
      <xdr:rowOff>19050</xdr:rowOff>
    </xdr:from>
    <xdr:ext cx="2552700" cy="1323975"/>
    <xdr:pic>
      <xdr:nvPicPr>
        <xdr:cNvPr id="0" name="image13.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666750</xdr:colOff>
      <xdr:row>11</xdr:row>
      <xdr:rowOff>171450</xdr:rowOff>
    </xdr:from>
    <xdr:ext cx="1057275" cy="323850"/>
    <xdr:pic>
      <xdr:nvPicPr>
        <xdr:cNvPr id="0" name="image11.jp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1104900</xdr:colOff>
      <xdr:row>28</xdr:row>
      <xdr:rowOff>180975</xdr:rowOff>
    </xdr:from>
    <xdr:ext cx="2552700" cy="3638550"/>
    <xdr:pic>
      <xdr:nvPicPr>
        <xdr:cNvPr id="0" name="image1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28</xdr:row>
      <xdr:rowOff>180975</xdr:rowOff>
    </xdr:from>
    <xdr:ext cx="2219325" cy="3638550"/>
    <xdr:pic>
      <xdr:nvPicPr>
        <xdr:cNvPr id="0" name="image1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28575</xdr:colOff>
      <xdr:row>7</xdr:row>
      <xdr:rowOff>57150</xdr:rowOff>
    </xdr:from>
    <xdr:ext cx="2447925" cy="3390900"/>
    <xdr:pic>
      <xdr:nvPicPr>
        <xdr:cNvPr id="0" name="image8.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1104900</xdr:colOff>
      <xdr:row>6</xdr:row>
      <xdr:rowOff>161925</xdr:rowOff>
    </xdr:from>
    <xdr:ext cx="2162175" cy="3390900"/>
    <xdr:pic>
      <xdr:nvPicPr>
        <xdr:cNvPr id="0" name="image9.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838200</xdr:colOff>
      <xdr:row>2</xdr:row>
      <xdr:rowOff>95250</xdr:rowOff>
    </xdr:from>
    <xdr:ext cx="1609725" cy="1752600"/>
    <xdr:pic>
      <xdr:nvPicPr>
        <xdr:cNvPr id="0" name="image29.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28575</xdr:colOff>
      <xdr:row>24</xdr:row>
      <xdr:rowOff>47625</xdr:rowOff>
    </xdr:from>
    <xdr:ext cx="2486025" cy="153352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400050</xdr:colOff>
      <xdr:row>12</xdr:row>
      <xdr:rowOff>47625</xdr:rowOff>
    </xdr:from>
    <xdr:ext cx="4543425" cy="1752600"/>
    <xdr:pic>
      <xdr:nvPicPr>
        <xdr:cNvPr id="0" name="image26.jp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600075</xdr:colOff>
      <xdr:row>26</xdr:row>
      <xdr:rowOff>133350</xdr:rowOff>
    </xdr:from>
    <xdr:ext cx="495300" cy="295275"/>
    <xdr:pic>
      <xdr:nvPicPr>
        <xdr:cNvPr id="0" name="image16.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19050</xdr:colOff>
      <xdr:row>26</xdr:row>
      <xdr:rowOff>133350</xdr:rowOff>
    </xdr:from>
    <xdr:ext cx="495300" cy="295275"/>
    <xdr:pic>
      <xdr:nvPicPr>
        <xdr:cNvPr id="0" name="image6.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438150</xdr:colOff>
      <xdr:row>17</xdr:row>
      <xdr:rowOff>161925</xdr:rowOff>
    </xdr:from>
    <xdr:ext cx="495300" cy="295275"/>
    <xdr:pic>
      <xdr:nvPicPr>
        <xdr:cNvPr id="0" name="image7.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342900</xdr:colOff>
      <xdr:row>17</xdr:row>
      <xdr:rowOff>161925</xdr:rowOff>
    </xdr:from>
    <xdr:ext cx="419100" cy="295275"/>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171450</xdr:colOff>
      <xdr:row>17</xdr:row>
      <xdr:rowOff>161925</xdr:rowOff>
    </xdr:from>
    <xdr:ext cx="609600" cy="295275"/>
    <xdr:pic>
      <xdr:nvPicPr>
        <xdr:cNvPr id="0" name="image17.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19050</xdr:colOff>
      <xdr:row>31</xdr:row>
      <xdr:rowOff>161925</xdr:rowOff>
    </xdr:from>
    <xdr:ext cx="419100" cy="295275"/>
    <xdr:pic>
      <xdr:nvPicPr>
        <xdr:cNvPr id="0" name="image15.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514350</xdr:colOff>
      <xdr:row>31</xdr:row>
      <xdr:rowOff>161925</xdr:rowOff>
    </xdr:from>
    <xdr:ext cx="495300" cy="295275"/>
    <xdr:pic>
      <xdr:nvPicPr>
        <xdr:cNvPr id="0" name="image1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22</xdr:row>
      <xdr:rowOff>114300</xdr:rowOff>
    </xdr:from>
    <xdr:ext cx="495300" cy="2952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504825</xdr:colOff>
      <xdr:row>22</xdr:row>
      <xdr:rowOff>114300</xdr:rowOff>
    </xdr:from>
    <xdr:ext cx="495300" cy="295275"/>
    <xdr:pic>
      <xdr:nvPicPr>
        <xdr:cNvPr id="0" name="image16.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9525</xdr:colOff>
      <xdr:row>25</xdr:row>
      <xdr:rowOff>28575</xdr:rowOff>
    </xdr:from>
    <xdr:ext cx="733425" cy="971550"/>
    <xdr:pic>
      <xdr:nvPicPr>
        <xdr:cNvPr id="0" name="image10.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9525</xdr:colOff>
      <xdr:row>8</xdr:row>
      <xdr:rowOff>76200</xdr:rowOff>
    </xdr:from>
    <xdr:ext cx="590550" cy="409575"/>
    <xdr:pic>
      <xdr:nvPicPr>
        <xdr:cNvPr id="0" name="image5.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31</xdr:row>
      <xdr:rowOff>38100</xdr:rowOff>
    </xdr:from>
    <xdr:ext cx="3181350" cy="3124200"/>
    <xdr:pic>
      <xdr:nvPicPr>
        <xdr:cNvPr id="0" name="image19.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95250</xdr:colOff>
      <xdr:row>47</xdr:row>
      <xdr:rowOff>133350</xdr:rowOff>
    </xdr:from>
    <xdr:ext cx="2990850" cy="3629025"/>
    <xdr:pic>
      <xdr:nvPicPr>
        <xdr:cNvPr id="0" name="image18.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895350</xdr:colOff>
      <xdr:row>23</xdr:row>
      <xdr:rowOff>171450</xdr:rowOff>
    </xdr:from>
    <xdr:ext cx="4943475" cy="1924050"/>
    <xdr:pic>
      <xdr:nvPicPr>
        <xdr:cNvPr id="0" name="image27.jp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895350</xdr:colOff>
      <xdr:row>1</xdr:row>
      <xdr:rowOff>142875</xdr:rowOff>
    </xdr:from>
    <xdr:ext cx="5438775" cy="1924050"/>
    <xdr:pic>
      <xdr:nvPicPr>
        <xdr:cNvPr id="0" name="image30.jp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942975</xdr:colOff>
      <xdr:row>13</xdr:row>
      <xdr:rowOff>38100</xdr:rowOff>
    </xdr:from>
    <xdr:ext cx="1857375" cy="1543050"/>
    <xdr:pic>
      <xdr:nvPicPr>
        <xdr:cNvPr id="0" name="image21.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5</xdr:col>
      <xdr:colOff>942975</xdr:colOff>
      <xdr:row>35</xdr:row>
      <xdr:rowOff>85725</xdr:rowOff>
    </xdr:from>
    <xdr:ext cx="1971675" cy="1495425"/>
    <xdr:pic>
      <xdr:nvPicPr>
        <xdr:cNvPr id="0" name="image24.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942975</xdr:colOff>
      <xdr:row>19</xdr:row>
      <xdr:rowOff>171450</xdr:rowOff>
    </xdr:from>
    <xdr:ext cx="2362200" cy="1419225"/>
    <xdr:pic>
      <xdr:nvPicPr>
        <xdr:cNvPr id="0" name="image34.jpg" title="Image"/>
        <xdr:cNvPicPr preferRelativeResize="0"/>
      </xdr:nvPicPr>
      <xdr:blipFill>
        <a:blip cstate="print" r:embed="rId7"/>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skyciv.com/free-beam-calculator/"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s://mechanicsmap.psu.edu/websites/7_friction/7-6_disc_friction/discfriction.html" TargetMode="External"/><Relationship Id="rId2" Type="http://schemas.openxmlformats.org/officeDocument/2006/relationships/hyperlink" Target="https://www.mcmaster.com/96485K214" TargetMode="External"/><Relationship Id="rId3" Type="http://schemas.openxmlformats.org/officeDocument/2006/relationships/hyperlink" Target="https://americanplasticscorp.com/index.php/products/delrin/" TargetMode="External"/><Relationship Id="rId4" Type="http://schemas.openxmlformats.org/officeDocument/2006/relationships/hyperlink" Target="https://www.matweb.com/search/datasheet_print.aspx?matguid=4bcaab41d4eb43b3824d9de31c2c6849" TargetMode="External"/><Relationship Id="rId5" Type="http://schemas.openxmlformats.org/officeDocument/2006/relationships/hyperlink" Target="https://unipunch.com/support/charts/material-specifications/" TargetMode="External"/><Relationship Id="rId6"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1.vml"/><Relationship Id="rId3" Type="http://schemas.openxmlformats.org/officeDocument/2006/relationships/oleObject" Target="../embeddings/oleObject1.bin"/><Relationship Id="rId4"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amazon.com/Pullies-Loading-Material-Handling-Project/dp/B09XDK1BDH/ref=sr_1_3?crid=2UZIL27K61F9J&amp;dib=eyJ2IjoiMSJ9.MYwz7pgl-lCbW_5JVI8RpG7iLQKjRlbWi8cN6d1kGVuww6OnnOLbJxOi9ChQsYlf3yTFI2Xji5lomMCuRGaQqevh5k12GOPIROi6QYdiZ8wp5gms6oiZejj9b3OBrIdbMLSnf1HQvKRIQ5gBXAFBliOsYTCOQcpEcFxGwC4YirKNe4hyQ9qsXsVBtdU1i7OmR9Ok9xg30ImvJmfvuYktc08QqQVD3nz67KVu5rcB4BA.sQZubmtdvyCuiV-W0CE4M0ZsriEGNEXJVisaQYrb0bw&amp;dib_tag=se&amp;keywords=fixed%2Bpulley%2Bsmall%2Bfor%2Brope%2Bapplication&amp;qid=1735881691&amp;sprefix=fixed%2Bpulley%2Bsmall%2Bfor%2Brope%2Bapplication%2Caps%2C162&amp;sr=8-3&amp;th=1" TargetMode="External"/><Relationship Id="rId2" Type="http://schemas.openxmlformats.org/officeDocument/2006/relationships/hyperlink" Target="https://www.amazon.com/Floyutin-Stainless-Lifting-Teaction-Hanging/dp/B0BVZJ2198/ref=sr_1_25?crid=2GA0PXFQML7NA&amp;dib=eyJ2IjoiMSJ9.Xq2HZMKu32WJ7_nXOraYP9CFx6CxDPSDDxDA6-2Z31fXNul-eHVgxSyM_4aOC8iIMTv4Qrn7hUNyf0UzpmlCU6CnvtxDJ5oyfc9vIsjykq90I1G1bjYClBus5kV7rRbHdjeh4Hfw3GVm8uN4D49zH9OE_pH0OwPXNPYctbAiTfL90KUvTh3HU_Taqn6-75S5Ht56UbZxBXuCrdzzCkKGZJpDouIOSWrjn8axabOxvwKVCwca4r7P9VO-9pRcn9I80sYB9RH5xkX9znjyR-Q0Sre-BPAV89Bu0UKX9bIUeTa31sbYBXRcccu7hx2rIYgPv9UlVRUWL-NCsOQMhw3aZB6j7dZNixlR3RAnK1uPPJQ.KzgeWKecXGDGkFeyOZH1xt7n6vz_5SqNB8jaqr8ev1U&amp;dib_tag=se&amp;keywords=m15%2Bsmall%2Bpulley%2Bfor%2Brope&amp;qid=1735882097&amp;s=industrial&amp;sprefix=m15%2Bsmall%2Bpulley%2Bfor%2Brope%2Cindustrial%2C162&amp;sr=1-25&amp;th=1" TargetMode="External"/><Relationship Id="rId3" Type="http://schemas.openxmlformats.org/officeDocument/2006/relationships/hyperlink" Target="https://www.amazon.com/Silver-Stainless-Wirerope-Traction-Trolley/dp/B0B1Q8K7R8/ref=sr_1_4?crid=1KRUK6246X3H6&amp;dib=eyJ2IjoiMSJ9.t5GnnC0YZq75S11hzE0doKGXOPCddam6k-FleCZlSt2LXMlgXyIbylr4eVWykOTGTBENEbJMGN-2Dslr2QskoyqKP71aZoavj-KHwGc79ShLnC0vBVcmKFIWjDVsLCPS7b9YIv2-kGw2MLmZIRBHhRLFPIcxaFKQZJz0h8GliTpXfvywfDLH2bDhtAxJQEDNYZOZ1E6luFF2_JMKnwUH76KE2dzhe-2B_14FxB5E6CdjT5hdZlPKJrSHYBnydiM7djtjS9peXJugYSJwI4q0jSt0cy8eSuN9l2OSUO0A3RhKMK2hxWdRlfeW83-A3xNx_NuLT4-C3FAusHqB6Z-R0rlA0qiWKT70gVHWYeQ0_gE.GGL3qWgJX55G0acDLPOavwPR_qAbZn4qljz-Ld0JOUQ&amp;dib_tag=se&amp;keywords=pulley%2Bsmall%2Bfor%2Brope&amp;qid=1735881985&amp;s=industrial&amp;sprefix=pulley%2Bsmall%2Bfor%2Brope%2Cindustrial%2C170&amp;sr=1-4&amp;th=1" TargetMode="External"/><Relationship Id="rId4" Type="http://schemas.openxmlformats.org/officeDocument/2006/relationships/hyperlink" Target="https://www.amazon.com/Rocaris-Stainless-Double-Lifting-Hanging/dp/B07WVYCPMQ/ref=sr_1_8?crid=2GA0PXFQML7NA&amp;dib=eyJ2IjoiMSJ9.Xq2HZMKu32WJ7_nXOraYP9CFx6CxDPSDDxDA6-2Z31fXNul-eHVgxSyM_4aOC8iIMTv4Qrn7hUNyf0UzpmlCU6CnvtxDJ5oyfc9vIsjykq90I1G1bjYClBus5kV7rRbHdjeh4Hfw3GVm8uN4D49zH9OE_pH0OwPXNPYctbAiTfL90KUvTh3HU_Taqn6-75S5Ht56UbZxBXuCrdzzCkKGZJpDouIOSWrjn8axabOxvwKVCwca4r7P9VO-9pRcn9I80sYB9RH5xkX9znjyR-Q0Sre-BPAV89Bu0UKX9bIUeTa31sbYBXRcccu7hx2rIYgPv9UlVRUWL-NCsOQMhw3aZB6j7dZNixlR3RAnK1uPPJQ.KzgeWKecXGDGkFeyOZH1xt7n6vz_5SqNB8jaqr8ev1U&amp;dib_tag=se&amp;keywords=m15%2Bsmall%2Bpulley%2Bfor%2Brope&amp;qid=1735882097&amp;s=industrial&amp;sprefix=m15%2Bsmall%2Bpulley%2Bfor%2Brope%2Cindustrial%2C162&amp;sr=1-8&amp;th=1" TargetMode="External"/><Relationship Id="rId9" Type="http://schemas.openxmlformats.org/officeDocument/2006/relationships/drawing" Target="../drawings/drawing2.xml"/><Relationship Id="rId5" Type="http://schemas.openxmlformats.org/officeDocument/2006/relationships/hyperlink" Target="https://www.mcmaster.com/3213T11" TargetMode="External"/><Relationship Id="rId6" Type="http://schemas.openxmlformats.org/officeDocument/2006/relationships/hyperlink" Target="https://www.mcmaster.com/3790T27" TargetMode="External"/><Relationship Id="rId7" Type="http://schemas.openxmlformats.org/officeDocument/2006/relationships/hyperlink" Target="https://www.mcmaster.com/3837T33" TargetMode="External"/><Relationship Id="rId8" Type="http://schemas.openxmlformats.org/officeDocument/2006/relationships/hyperlink" Target="https://www.mcmaster.com/4529N2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mcmaster.com/47065T539" TargetMode="External"/><Relationship Id="rId2" Type="http://schemas.openxmlformats.org/officeDocument/2006/relationships/hyperlink" Target="https://www.mcmaster.com/47065T539" TargetMode="External"/><Relationship Id="rId3" Type="http://schemas.openxmlformats.org/officeDocument/2006/relationships/hyperlink" Target="https://www.mcmaster.com/5537T859" TargetMode="External"/><Relationship Id="rId4" Type="http://schemas.openxmlformats.org/officeDocument/2006/relationships/hyperlink" Target="https://www.mcmaster.com/47065T345" TargetMode="External"/><Relationship Id="rId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mcmaster.com/47065T539" TargetMode="External"/><Relationship Id="rId2" Type="http://schemas.openxmlformats.org/officeDocument/2006/relationships/hyperlink" Target="https://www.mcmaster.com/16175A37" TargetMode="External"/><Relationship Id="rId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asmedigitalcollection.asme.org/pressurevesseltech/article/119/2/211/454366/Fatigue-Design-Curves-for-6061-T6-Aluminum"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1.43"/>
  </cols>
  <sheetData>
    <row r="1">
      <c r="A1" s="1" t="s">
        <v>0</v>
      </c>
    </row>
    <row r="2">
      <c r="A2" s="2" t="s">
        <v>1</v>
      </c>
      <c r="B2" s="1">
        <v>150.0</v>
      </c>
      <c r="C2" s="1" t="s">
        <v>2</v>
      </c>
    </row>
    <row r="3">
      <c r="A3" s="2" t="s">
        <v>3</v>
      </c>
      <c r="B3" s="1">
        <v>0.01</v>
      </c>
      <c r="C3" s="1" t="s">
        <v>4</v>
      </c>
    </row>
    <row r="4">
      <c r="A4" s="2" t="s">
        <v>5</v>
      </c>
      <c r="B4" s="1" t="s">
        <v>6</v>
      </c>
    </row>
    <row r="5">
      <c r="A5" s="2" t="s">
        <v>7</v>
      </c>
      <c r="B5" s="1">
        <v>276.0</v>
      </c>
    </row>
    <row r="7">
      <c r="A7" s="3" t="s">
        <v>8</v>
      </c>
      <c r="B7" s="4">
        <f>((B2/0.2248)/B3)/10^6</f>
        <v>0.06672597865</v>
      </c>
    </row>
    <row r="8">
      <c r="A8" s="3" t="s">
        <v>9</v>
      </c>
      <c r="B8" s="5">
        <f>B5/B7</f>
        <v>4136.32</v>
      </c>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8.71"/>
    <col customWidth="1" min="10" max="10" width="71.57"/>
  </cols>
  <sheetData>
    <row r="1">
      <c r="A1" s="1" t="s">
        <v>181</v>
      </c>
    </row>
    <row r="2">
      <c r="A2" s="2" t="s">
        <v>182</v>
      </c>
    </row>
    <row r="3">
      <c r="A3" s="1" t="s">
        <v>183</v>
      </c>
      <c r="B3" s="1">
        <v>20.0</v>
      </c>
    </row>
    <row r="4">
      <c r="A4" s="1" t="s">
        <v>184</v>
      </c>
      <c r="B4" s="1">
        <v>0.026</v>
      </c>
      <c r="H4" s="1" t="s">
        <v>183</v>
      </c>
      <c r="I4" s="1" t="s">
        <v>184</v>
      </c>
    </row>
    <row r="5">
      <c r="H5" s="1">
        <v>5.0</v>
      </c>
      <c r="I5" s="1">
        <v>0.106</v>
      </c>
    </row>
    <row r="6">
      <c r="H6" s="65">
        <v>10.0</v>
      </c>
      <c r="I6" s="1">
        <v>0.053</v>
      </c>
    </row>
    <row r="7">
      <c r="H7" s="1">
        <v>20.0</v>
      </c>
      <c r="I7" s="1">
        <v>0.026</v>
      </c>
    </row>
    <row r="10">
      <c r="J10" s="2" t="s">
        <v>185</v>
      </c>
    </row>
    <row r="11">
      <c r="J11" s="66" t="s">
        <v>186</v>
      </c>
    </row>
    <row r="12">
      <c r="J12" s="66" t="s">
        <v>187</v>
      </c>
    </row>
    <row r="13">
      <c r="J13" s="66" t="s">
        <v>188</v>
      </c>
    </row>
    <row r="16">
      <c r="J16" s="2" t="s">
        <v>189</v>
      </c>
    </row>
    <row r="17">
      <c r="J17" s="1" t="s">
        <v>190</v>
      </c>
    </row>
    <row r="18">
      <c r="J18" s="1" t="s">
        <v>191</v>
      </c>
    </row>
    <row r="19">
      <c r="J19" s="66" t="s">
        <v>192</v>
      </c>
    </row>
    <row r="20">
      <c r="A20" s="1" t="s">
        <v>183</v>
      </c>
      <c r="B20" s="1">
        <v>10.0</v>
      </c>
    </row>
    <row r="21">
      <c r="A21" s="1" t="s">
        <v>184</v>
      </c>
      <c r="B21" s="1">
        <v>0.053</v>
      </c>
    </row>
    <row r="38">
      <c r="A38" s="1" t="s">
        <v>183</v>
      </c>
      <c r="B38" s="1">
        <v>5.0</v>
      </c>
    </row>
    <row r="39">
      <c r="A39" s="1" t="s">
        <v>184</v>
      </c>
      <c r="B39" s="1">
        <v>0.106</v>
      </c>
    </row>
    <row r="56">
      <c r="A56" s="2" t="s">
        <v>193</v>
      </c>
    </row>
    <row r="58">
      <c r="A58" s="1" t="s">
        <v>194</v>
      </c>
    </row>
    <row r="78">
      <c r="A78" s="1" t="s">
        <v>195</v>
      </c>
    </row>
    <row r="79">
      <c r="G79" s="1" t="s">
        <v>196</v>
      </c>
    </row>
    <row r="95">
      <c r="A95" s="1" t="s">
        <v>197</v>
      </c>
    </row>
    <row r="96">
      <c r="G96" s="1" t="s">
        <v>198</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8.29"/>
    <col customWidth="1" min="2" max="2" width="13.14"/>
    <col customWidth="1" min="3" max="26" width="10.0"/>
  </cols>
  <sheetData>
    <row r="1" ht="13.5" customHeight="1">
      <c r="A1" s="1" t="s">
        <v>199</v>
      </c>
    </row>
    <row r="2" ht="13.5" customHeight="1"/>
    <row r="3" ht="13.5" customHeight="1">
      <c r="A3" s="28" t="s">
        <v>200</v>
      </c>
    </row>
    <row r="4" ht="13.5" customHeight="1">
      <c r="A4" s="27" t="s">
        <v>7</v>
      </c>
      <c r="B4" s="2">
        <v>30.0</v>
      </c>
    </row>
    <row r="5" ht="13.5" customHeight="1">
      <c r="A5" s="27" t="s">
        <v>201</v>
      </c>
      <c r="B5" s="1">
        <v>0.46</v>
      </c>
      <c r="C5" s="20"/>
    </row>
    <row r="6" ht="13.5" customHeight="1">
      <c r="A6" s="1" t="s">
        <v>202</v>
      </c>
      <c r="B6" s="1">
        <v>20.0</v>
      </c>
    </row>
    <row r="7" ht="13.5" customHeight="1">
      <c r="A7" s="27" t="s">
        <v>203</v>
      </c>
      <c r="B7" s="67">
        <f>(B6/1000)^4/12</f>
        <v>0.00000001333333333</v>
      </c>
    </row>
    <row r="8" ht="13.5" customHeight="1">
      <c r="A8" s="27" t="s">
        <v>204</v>
      </c>
      <c r="B8" s="43">
        <f>B14/2*B5^2/(48*B7)/(10^6)</f>
        <v>330.625</v>
      </c>
    </row>
    <row r="9" ht="13.5" customHeight="1">
      <c r="A9" s="1" t="s">
        <v>205</v>
      </c>
      <c r="B9" s="1">
        <v>7.0</v>
      </c>
    </row>
    <row r="10" ht="13.5" customHeight="1">
      <c r="A10" s="27" t="s">
        <v>206</v>
      </c>
      <c r="B10" s="43">
        <f>B7-PI()*(B9/1000)^4/64</f>
        <v>0.00000001321547452</v>
      </c>
    </row>
    <row r="11" ht="13.5" customHeight="1">
      <c r="A11" s="1" t="s">
        <v>204</v>
      </c>
      <c r="B11" s="43">
        <f>B14/2*B5^2/(48*B10)/(10^6)</f>
        <v>333.5735941</v>
      </c>
    </row>
    <row r="12" ht="13.5" customHeight="1"/>
    <row r="13" ht="13.5" customHeight="1">
      <c r="A13" s="28" t="s">
        <v>134</v>
      </c>
      <c r="B13" s="17"/>
    </row>
    <row r="14" ht="13.5" customHeight="1">
      <c r="A14" s="1" t="s">
        <v>153</v>
      </c>
      <c r="B14" s="1">
        <v>2000.0</v>
      </c>
    </row>
    <row r="15" ht="13.5" customHeight="1"/>
    <row r="16" ht="13.5" customHeight="1">
      <c r="A16" s="19" t="s">
        <v>68</v>
      </c>
    </row>
    <row r="17" ht="13.5" customHeight="1">
      <c r="A17" s="17" t="s">
        <v>69</v>
      </c>
    </row>
    <row r="18" ht="13.5" customHeight="1">
      <c r="A18" s="22" t="s">
        <v>70</v>
      </c>
      <c r="B18" s="22"/>
    </row>
    <row r="19" ht="13.5" customHeight="1">
      <c r="A19" s="17"/>
    </row>
    <row r="20" ht="13.5" customHeight="1">
      <c r="A20" s="19"/>
      <c r="B20" s="19"/>
    </row>
    <row r="21" ht="13.5" customHeight="1">
      <c r="A21" s="19"/>
      <c r="B21" s="17"/>
    </row>
    <row r="22" ht="13.5" customHeight="1">
      <c r="A22" s="19"/>
      <c r="B22" s="47"/>
      <c r="E22" s="19"/>
    </row>
    <row r="23" ht="13.5" customHeight="1">
      <c r="A23" s="19"/>
      <c r="B23" s="30"/>
      <c r="C23" s="30"/>
    </row>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2.57"/>
  </cols>
  <sheetData>
    <row r="1">
      <c r="A1" s="2" t="s">
        <v>207</v>
      </c>
      <c r="D1" s="1" t="s">
        <v>208</v>
      </c>
      <c r="E1" s="10" t="s">
        <v>209</v>
      </c>
    </row>
    <row r="2">
      <c r="A2" s="66" t="s">
        <v>210</v>
      </c>
      <c r="D2" s="1" t="s">
        <v>211</v>
      </c>
    </row>
    <row r="3">
      <c r="A3" s="66" t="s">
        <v>158</v>
      </c>
      <c r="B3" s="1">
        <v>2000.0</v>
      </c>
    </row>
    <row r="4">
      <c r="A4" s="66" t="s">
        <v>212</v>
      </c>
      <c r="B4" s="1">
        <v>0.09255</v>
      </c>
    </row>
    <row r="5">
      <c r="A5" s="66" t="s">
        <v>213</v>
      </c>
      <c r="B5" s="1">
        <v>0.584074</v>
      </c>
    </row>
    <row r="6">
      <c r="A6" s="66" t="s">
        <v>214</v>
      </c>
      <c r="B6" s="1">
        <v>0.04</v>
      </c>
    </row>
    <row r="7">
      <c r="A7" s="66" t="s">
        <v>215</v>
      </c>
      <c r="B7" s="1">
        <v>4.896E-4</v>
      </c>
    </row>
    <row r="8">
      <c r="A8" s="66" t="s">
        <v>216</v>
      </c>
      <c r="B8" s="1">
        <v>6.766E-4</v>
      </c>
    </row>
    <row r="9">
      <c r="A9" s="68"/>
    </row>
    <row r="10">
      <c r="A10" s="66" t="s">
        <v>217</v>
      </c>
      <c r="B10" s="63">
        <f>((B3*(B5-B4)*(B6/2))/(8*B7))/10^6</f>
        <v>0.005019648693</v>
      </c>
    </row>
    <row r="11">
      <c r="A11" s="66" t="s">
        <v>218</v>
      </c>
      <c r="B11" s="69">
        <f>((B3*(B5-B4)*(B6/2))/(8*B8))/10^6</f>
        <v>0.003632308602</v>
      </c>
    </row>
    <row r="13">
      <c r="A13" s="70" t="s">
        <v>219</v>
      </c>
    </row>
    <row r="15">
      <c r="A15" s="1" t="s">
        <v>220</v>
      </c>
    </row>
    <row r="16">
      <c r="A16" s="1" t="s">
        <v>221</v>
      </c>
      <c r="B16" s="1">
        <v>5.96862E-4</v>
      </c>
    </row>
    <row r="17">
      <c r="A17" s="1" t="s">
        <v>222</v>
      </c>
      <c r="B17" s="1">
        <v>9.1349E-4</v>
      </c>
    </row>
    <row r="18">
      <c r="A18" s="1" t="s">
        <v>217</v>
      </c>
      <c r="B18" s="63">
        <f>((B3/4)/B16)/10^6</f>
        <v>0.8377145806</v>
      </c>
    </row>
    <row r="19">
      <c r="A19" s="1" t="s">
        <v>218</v>
      </c>
      <c r="B19" s="6">
        <f>((B3/4)/B17)/10^6</f>
        <v>0.5473513667</v>
      </c>
    </row>
    <row r="21">
      <c r="A21" s="70" t="s">
        <v>219</v>
      </c>
      <c r="G21" s="1" t="s">
        <v>223</v>
      </c>
    </row>
    <row r="23">
      <c r="A23" s="1" t="s">
        <v>224</v>
      </c>
    </row>
    <row r="24">
      <c r="A24" s="66" t="s">
        <v>225</v>
      </c>
      <c r="B24" s="1">
        <v>0.0508</v>
      </c>
    </row>
    <row r="25">
      <c r="A25" s="1" t="s">
        <v>213</v>
      </c>
      <c r="B25" s="71">
        <v>0.584074</v>
      </c>
    </row>
    <row r="26">
      <c r="A26" s="1" t="s">
        <v>226</v>
      </c>
      <c r="B26" s="1">
        <v>0.04</v>
      </c>
    </row>
    <row r="27">
      <c r="A27" s="1" t="s">
        <v>215</v>
      </c>
      <c r="B27" s="1">
        <v>4.896E-4</v>
      </c>
    </row>
    <row r="28">
      <c r="A28" s="1" t="s">
        <v>227</v>
      </c>
      <c r="B28" s="1">
        <v>6.766E-4</v>
      </c>
    </row>
    <row r="29">
      <c r="A29" s="1" t="s">
        <v>217</v>
      </c>
      <c r="B29" s="63">
        <f>((B3*(B25-B24)*(B26/2))/(12*B27))/10^6</f>
        <v>0.003630678105</v>
      </c>
    </row>
    <row r="30">
      <c r="A30" s="1" t="s">
        <v>218</v>
      </c>
      <c r="B30" s="69">
        <f>((B3*(B25-B24)*(B26/2))/(12*B28))/10^6</f>
        <v>0.002627224357</v>
      </c>
    </row>
    <row r="32">
      <c r="A32" s="70" t="s">
        <v>219</v>
      </c>
    </row>
    <row r="34">
      <c r="B34" s="69"/>
    </row>
    <row r="41">
      <c r="G41" s="1" t="s">
        <v>220</v>
      </c>
    </row>
    <row r="57">
      <c r="G57" s="1" t="s">
        <v>228</v>
      </c>
    </row>
  </sheetData>
  <hyperlinks>
    <hyperlink r:id="rId1" ref="E1"/>
  </hyperlinks>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2.71"/>
    <col customWidth="1" min="2" max="2" width="19.86"/>
    <col customWidth="1" min="3" max="3" width="22.86"/>
    <col customWidth="1" min="6" max="6" width="28.71"/>
  </cols>
  <sheetData>
    <row r="1">
      <c r="A1" s="1" t="s">
        <v>229</v>
      </c>
    </row>
    <row r="2">
      <c r="A2" s="1" t="s">
        <v>208</v>
      </c>
      <c r="B2" s="12" t="s">
        <v>230</v>
      </c>
    </row>
    <row r="3">
      <c r="B3" s="72"/>
    </row>
    <row r="4">
      <c r="A4" s="73" t="s">
        <v>231</v>
      </c>
      <c r="B4" s="72"/>
    </row>
    <row r="5">
      <c r="A5" s="74" t="s">
        <v>232</v>
      </c>
      <c r="B5" s="72"/>
      <c r="F5" s="73" t="s">
        <v>233</v>
      </c>
    </row>
    <row r="6">
      <c r="A6" s="75" t="s">
        <v>234</v>
      </c>
      <c r="B6" s="72"/>
      <c r="C6" s="68"/>
    </row>
    <row r="7">
      <c r="A7" s="73" t="s">
        <v>235</v>
      </c>
      <c r="B7" s="76" t="s">
        <v>236</v>
      </c>
      <c r="C7" s="14" t="s">
        <v>237</v>
      </c>
    </row>
    <row r="8">
      <c r="A8" s="73" t="s">
        <v>238</v>
      </c>
      <c r="B8" s="76" t="s">
        <v>239</v>
      </c>
    </row>
    <row r="9">
      <c r="A9" s="77" t="s">
        <v>240</v>
      </c>
      <c r="B9" s="76">
        <v>0.3</v>
      </c>
      <c r="C9" s="78" t="s">
        <v>241</v>
      </c>
    </row>
    <row r="10">
      <c r="A10" s="73" t="s">
        <v>242</v>
      </c>
      <c r="B10" s="76">
        <v>2000.0</v>
      </c>
      <c r="C10" s="68"/>
    </row>
    <row r="11">
      <c r="A11" s="73" t="s">
        <v>243</v>
      </c>
      <c r="B11" s="76">
        <v>0.0492</v>
      </c>
      <c r="C11" s="68"/>
    </row>
    <row r="12">
      <c r="A12" s="73" t="s">
        <v>244</v>
      </c>
      <c r="B12" s="76">
        <v>0.0683</v>
      </c>
      <c r="C12" s="68"/>
    </row>
    <row r="13">
      <c r="A13" s="73" t="s">
        <v>245</v>
      </c>
      <c r="B13" s="76">
        <v>80.0</v>
      </c>
      <c r="C13" s="78" t="s">
        <v>246</v>
      </c>
    </row>
    <row r="14">
      <c r="A14" s="79" t="s">
        <v>247</v>
      </c>
      <c r="B14" s="80">
        <f>((PI()/2)*(B12^4-B11^4))/4</f>
        <v>0.000006244583263</v>
      </c>
      <c r="C14" s="66" t="s">
        <v>248</v>
      </c>
    </row>
    <row r="15">
      <c r="A15" s="73" t="s">
        <v>249</v>
      </c>
      <c r="B15" s="81">
        <v>0.2032</v>
      </c>
      <c r="C15" s="68"/>
    </row>
    <row r="16">
      <c r="A16" s="79" t="s">
        <v>250</v>
      </c>
      <c r="B16" s="82">
        <f>((B13*10^9)*B14)/B15</f>
        <v>2458497.348</v>
      </c>
      <c r="C16" s="68"/>
    </row>
    <row r="17">
      <c r="A17" s="73" t="s">
        <v>251</v>
      </c>
      <c r="B17" s="76">
        <v>1378.95</v>
      </c>
      <c r="C17" s="78" t="s">
        <v>252</v>
      </c>
    </row>
    <row r="18">
      <c r="A18" s="83"/>
      <c r="B18" s="9"/>
      <c r="C18" s="68"/>
    </row>
    <row r="19">
      <c r="A19" s="75" t="s">
        <v>25</v>
      </c>
      <c r="B19" s="84"/>
      <c r="C19" s="68"/>
    </row>
    <row r="20">
      <c r="A20" s="85" t="s">
        <v>253</v>
      </c>
      <c r="B20" s="82">
        <f>(2/3)*B9*B10*((B12^3-B11^3)/(B12^2-B11^2))</f>
        <v>35.5604766</v>
      </c>
      <c r="C20" s="68"/>
    </row>
    <row r="21">
      <c r="A21" s="79" t="s">
        <v>254</v>
      </c>
      <c r="B21" s="82">
        <f>((B12*B20)/B14)/10^6</f>
        <v>0.3889419756</v>
      </c>
    </row>
    <row r="22">
      <c r="A22" s="79" t="s">
        <v>255</v>
      </c>
      <c r="B22" s="86" t="str">
        <f>IF(B21&gt;B17,"YES","NO")</f>
        <v>NO</v>
      </c>
      <c r="F22" s="2" t="s">
        <v>256</v>
      </c>
    </row>
    <row r="23">
      <c r="A23" s="79" t="s">
        <v>257</v>
      </c>
      <c r="B23" s="87">
        <f>B20/B16</f>
        <v>0.00001446431359</v>
      </c>
    </row>
    <row r="34">
      <c r="F34" s="2" t="s">
        <v>258</v>
      </c>
    </row>
    <row r="42">
      <c r="F42" s="2" t="s">
        <v>259</v>
      </c>
    </row>
    <row r="43">
      <c r="F43" s="1" t="s">
        <v>260</v>
      </c>
    </row>
    <row r="44">
      <c r="F44" s="1" t="s">
        <v>261</v>
      </c>
    </row>
  </sheetData>
  <hyperlinks>
    <hyperlink r:id="rId1" ref="B2"/>
    <hyperlink r:id="rId2" ref="C7"/>
    <hyperlink r:id="rId3" location=":~:text=The%20Delrin%2Dsteel%20coefficient%20of,loads%20and%20relative%20surface%20speeds." ref="C9"/>
    <hyperlink r:id="rId4" ref="C13"/>
    <hyperlink r:id="rId5" ref="C17"/>
  </hyperlinks>
  <drawing r:id="rId6"/>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6.71"/>
  </cols>
  <sheetData>
    <row r="2">
      <c r="A2" s="2" t="s">
        <v>262</v>
      </c>
    </row>
    <row r="3">
      <c r="A3" s="1" t="s">
        <v>149</v>
      </c>
      <c r="B3" s="1">
        <v>9.525</v>
      </c>
    </row>
    <row r="4">
      <c r="A4" s="1" t="s">
        <v>119</v>
      </c>
      <c r="B4" s="1">
        <v>0.46</v>
      </c>
    </row>
    <row r="5">
      <c r="A5" s="1" t="s">
        <v>263</v>
      </c>
      <c r="B5" s="2">
        <v>400.0</v>
      </c>
    </row>
    <row r="6">
      <c r="A6" s="1" t="s">
        <v>264</v>
      </c>
      <c r="B6" s="88">
        <v>79.0</v>
      </c>
    </row>
    <row r="7">
      <c r="A7" s="1" t="s">
        <v>265</v>
      </c>
      <c r="B7" s="89">
        <v>200.0</v>
      </c>
    </row>
    <row r="8">
      <c r="A8" s="1"/>
      <c r="B8" s="21"/>
    </row>
    <row r="9">
      <c r="A9" s="2" t="s">
        <v>266</v>
      </c>
      <c r="B9" s="21"/>
    </row>
    <row r="10">
      <c r="A10" s="1" t="s">
        <v>267</v>
      </c>
      <c r="B10" s="21">
        <f>PI()*(B3/1000)^4/64</f>
        <v>0.0000000004040450924</v>
      </c>
    </row>
    <row r="11">
      <c r="A11" s="1" t="s">
        <v>268</v>
      </c>
      <c r="B11" s="21">
        <f>(B3/1000/2*B18/B10)/10^6</f>
        <v>141.4446087</v>
      </c>
    </row>
    <row r="12">
      <c r="A12" s="1" t="s">
        <v>269</v>
      </c>
      <c r="B12" s="21">
        <f>B6*10^9*B10/(B4)</f>
        <v>69.39035282</v>
      </c>
    </row>
    <row r="13">
      <c r="A13" s="1" t="s">
        <v>270</v>
      </c>
      <c r="B13" s="21">
        <f>B18/B12</f>
        <v>0.1729347022</v>
      </c>
    </row>
    <row r="14">
      <c r="A14" s="1" t="s">
        <v>271</v>
      </c>
      <c r="B14" s="57" t="str">
        <f>IF(B11&gt;B5, "YES", "NO")</f>
        <v>NO</v>
      </c>
    </row>
    <row r="15">
      <c r="A15" s="1" t="s">
        <v>9</v>
      </c>
      <c r="B15" s="21">
        <f>B5/B11</f>
        <v>2.827962151</v>
      </c>
    </row>
    <row r="17">
      <c r="A17" s="2" t="s">
        <v>134</v>
      </c>
    </row>
    <row r="18">
      <c r="A18" s="1" t="s">
        <v>272</v>
      </c>
      <c r="B18" s="1">
        <v>12.0</v>
      </c>
    </row>
    <row r="19">
      <c r="A19" s="1" t="s">
        <v>79</v>
      </c>
      <c r="B19" s="1">
        <v>2000.0</v>
      </c>
    </row>
    <row r="21">
      <c r="A21" s="2" t="s">
        <v>273</v>
      </c>
    </row>
    <row r="22">
      <c r="A22" s="1" t="s">
        <v>274</v>
      </c>
      <c r="B22" s="21">
        <f>PI()^2*B7*10^9*B10/(2*B4^2)</f>
        <v>1884.577137</v>
      </c>
    </row>
    <row r="23">
      <c r="A23" s="1" t="s">
        <v>275</v>
      </c>
      <c r="B23" s="57" t="str">
        <f>IF(B22&lt;B19, "YES", "NO")</f>
        <v>YES</v>
      </c>
    </row>
  </sheetData>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43"/>
    <col customWidth="1" min="2" max="2" width="8.0"/>
    <col customWidth="1" min="3" max="3" width="5.57"/>
    <col customWidth="1" min="4" max="7" width="11.43"/>
    <col customWidth="1" min="8" max="26" width="10.0"/>
  </cols>
  <sheetData>
    <row r="1" ht="12.75" customHeight="1">
      <c r="A1" s="90" t="s">
        <v>276</v>
      </c>
      <c r="B1" s="91"/>
      <c r="C1" s="92"/>
      <c r="D1" s="93"/>
      <c r="E1" s="93"/>
      <c r="F1" s="93"/>
      <c r="G1" s="93"/>
      <c r="H1" s="93"/>
      <c r="I1" s="93"/>
      <c r="J1" s="93"/>
      <c r="K1" s="93"/>
      <c r="L1" s="93"/>
      <c r="M1" s="93"/>
      <c r="N1" s="93"/>
      <c r="O1" s="93"/>
      <c r="P1" s="93"/>
      <c r="Q1" s="93"/>
      <c r="R1" s="93"/>
      <c r="S1" s="93"/>
      <c r="T1" s="93"/>
      <c r="U1" s="93"/>
      <c r="V1" s="93"/>
      <c r="W1" s="93"/>
      <c r="X1" s="93"/>
      <c r="Y1" s="93"/>
      <c r="Z1" s="93"/>
    </row>
    <row r="2" ht="12.75" customHeight="1">
      <c r="A2" s="94" t="s">
        <v>277</v>
      </c>
      <c r="B2" s="91"/>
      <c r="C2" s="92"/>
      <c r="D2" s="93"/>
      <c r="E2" s="93"/>
      <c r="F2" s="93"/>
      <c r="G2" s="93"/>
      <c r="H2" s="93"/>
      <c r="I2" s="93"/>
      <c r="J2" s="93"/>
      <c r="K2" s="93"/>
      <c r="L2" s="93"/>
      <c r="M2" s="93"/>
      <c r="N2" s="93"/>
      <c r="O2" s="93"/>
      <c r="P2" s="93"/>
      <c r="Q2" s="93"/>
      <c r="R2" s="93"/>
      <c r="S2" s="93"/>
      <c r="T2" s="93"/>
      <c r="U2" s="93"/>
      <c r="V2" s="93"/>
      <c r="W2" s="93"/>
      <c r="X2" s="93"/>
      <c r="Y2" s="93"/>
      <c r="Z2" s="93"/>
    </row>
    <row r="3" ht="12.75" customHeight="1">
      <c r="A3" s="94" t="s">
        <v>278</v>
      </c>
      <c r="B3" s="91"/>
      <c r="C3" s="92"/>
      <c r="D3" s="93"/>
      <c r="E3" s="93"/>
      <c r="F3" s="93"/>
      <c r="G3" s="93"/>
      <c r="H3" s="93"/>
      <c r="I3" s="93"/>
      <c r="J3" s="93"/>
      <c r="K3" s="93"/>
      <c r="L3" s="93"/>
      <c r="M3" s="93"/>
      <c r="N3" s="93"/>
      <c r="O3" s="93"/>
      <c r="P3" s="93"/>
      <c r="Q3" s="93"/>
      <c r="R3" s="93"/>
      <c r="S3" s="93"/>
      <c r="T3" s="93"/>
      <c r="U3" s="93"/>
      <c r="V3" s="93"/>
      <c r="W3" s="93"/>
      <c r="X3" s="93"/>
      <c r="Y3" s="93"/>
      <c r="Z3" s="93"/>
    </row>
    <row r="4" ht="13.5" customHeight="1">
      <c r="A4" s="95" t="s">
        <v>279</v>
      </c>
      <c r="B4" s="96"/>
      <c r="C4" s="97"/>
      <c r="D4" s="93"/>
      <c r="E4" s="93"/>
      <c r="F4" s="93"/>
      <c r="G4" s="93"/>
      <c r="H4" s="93"/>
      <c r="I4" s="93"/>
      <c r="J4" s="93"/>
      <c r="K4" s="93"/>
      <c r="L4" s="93"/>
      <c r="M4" s="93"/>
      <c r="N4" s="93"/>
      <c r="O4" s="93"/>
      <c r="P4" s="93"/>
      <c r="Q4" s="93"/>
      <c r="R4" s="93"/>
      <c r="S4" s="93"/>
      <c r="T4" s="93"/>
      <c r="U4" s="93"/>
      <c r="V4" s="93"/>
      <c r="W4" s="93"/>
      <c r="X4" s="93"/>
      <c r="Y4" s="93"/>
      <c r="Z4" s="93"/>
    </row>
    <row r="5" ht="12.75" customHeight="1">
      <c r="A5" s="98" t="s">
        <v>280</v>
      </c>
      <c r="B5" s="99">
        <v>2000.0</v>
      </c>
      <c r="C5" s="98"/>
      <c r="D5" s="93"/>
      <c r="E5" s="93" t="s">
        <v>281</v>
      </c>
      <c r="F5" s="93"/>
      <c r="G5" s="93" t="s">
        <v>282</v>
      </c>
      <c r="H5" s="93"/>
      <c r="I5" s="93"/>
      <c r="J5" s="93"/>
      <c r="K5" s="93"/>
      <c r="L5" s="93"/>
      <c r="M5" s="93"/>
      <c r="N5" s="93"/>
      <c r="O5" s="93"/>
      <c r="P5" s="93"/>
      <c r="Q5" s="93"/>
      <c r="R5" s="93"/>
      <c r="S5" s="93"/>
      <c r="T5" s="93"/>
      <c r="U5" s="93"/>
      <c r="V5" s="93"/>
      <c r="W5" s="93"/>
      <c r="X5" s="93"/>
      <c r="Y5" s="93"/>
      <c r="Z5" s="93"/>
    </row>
    <row r="6" ht="12.75" customHeight="1">
      <c r="A6" s="100" t="s">
        <v>283</v>
      </c>
      <c r="B6" s="101">
        <v>5.08</v>
      </c>
      <c r="C6" s="100"/>
      <c r="D6" s="93"/>
      <c r="E6" s="93"/>
      <c r="F6" s="93"/>
      <c r="G6" s="93"/>
      <c r="H6" s="93"/>
      <c r="I6" s="93"/>
      <c r="J6" s="93"/>
      <c r="K6" s="93"/>
      <c r="L6" s="93"/>
      <c r="M6" s="93"/>
      <c r="N6" s="93"/>
      <c r="O6" s="93"/>
      <c r="P6" s="93"/>
      <c r="Q6" s="93"/>
      <c r="R6" s="93"/>
      <c r="S6" s="93"/>
      <c r="T6" s="93"/>
      <c r="U6" s="93"/>
      <c r="V6" s="93"/>
      <c r="W6" s="93"/>
      <c r="X6" s="93"/>
      <c r="Y6" s="93"/>
      <c r="Z6" s="93"/>
    </row>
    <row r="7" ht="12.75" customHeight="1">
      <c r="A7" s="100" t="s">
        <v>284</v>
      </c>
      <c r="B7" s="101">
        <v>0.2</v>
      </c>
      <c r="C7" s="100"/>
      <c r="D7" s="93"/>
      <c r="E7" s="93"/>
      <c r="F7" s="93"/>
      <c r="G7" s="93"/>
      <c r="H7" s="93"/>
      <c r="I7" s="93"/>
      <c r="J7" s="93"/>
      <c r="K7" s="93"/>
      <c r="L7" s="93"/>
      <c r="M7" s="93"/>
      <c r="N7" s="93"/>
      <c r="O7" s="93"/>
      <c r="P7" s="93"/>
      <c r="Q7" s="93"/>
      <c r="R7" s="93"/>
      <c r="S7" s="93"/>
      <c r="T7" s="93"/>
      <c r="U7" s="93"/>
      <c r="V7" s="93"/>
      <c r="W7" s="93"/>
      <c r="X7" s="93"/>
      <c r="Y7" s="93"/>
      <c r="Z7" s="93"/>
    </row>
    <row r="8" ht="12.75" customHeight="1">
      <c r="A8" s="100" t="s">
        <v>285</v>
      </c>
      <c r="B8" s="101">
        <v>20.0</v>
      </c>
      <c r="C8" s="102"/>
      <c r="D8" s="93"/>
      <c r="E8" s="93"/>
      <c r="F8" s="93"/>
      <c r="G8" s="93"/>
      <c r="H8" s="93"/>
      <c r="I8" s="93"/>
      <c r="J8" s="93"/>
      <c r="K8" s="93"/>
      <c r="L8" s="93"/>
      <c r="M8" s="93"/>
      <c r="N8" s="93"/>
      <c r="O8" s="93"/>
      <c r="P8" s="93"/>
      <c r="Q8" s="93"/>
      <c r="R8" s="93"/>
      <c r="S8" s="93"/>
      <c r="T8" s="93"/>
      <c r="U8" s="93"/>
      <c r="V8" s="93"/>
      <c r="W8" s="93"/>
      <c r="X8" s="93"/>
      <c r="Y8" s="93"/>
      <c r="Z8" s="93"/>
    </row>
    <row r="9" ht="12.75" customHeight="1">
      <c r="A9" s="100" t="s">
        <v>286</v>
      </c>
      <c r="B9" s="101">
        <v>9.0</v>
      </c>
      <c r="C9" s="102"/>
      <c r="D9" s="93"/>
      <c r="E9" s="93"/>
      <c r="F9" s="93"/>
      <c r="G9" s="93"/>
      <c r="H9" s="93"/>
      <c r="I9" s="93"/>
      <c r="J9" s="93"/>
      <c r="K9" s="93"/>
      <c r="L9" s="93"/>
      <c r="M9" s="93"/>
      <c r="N9" s="93"/>
      <c r="O9" s="93"/>
      <c r="P9" s="93"/>
      <c r="Q9" s="93"/>
      <c r="R9" s="93"/>
      <c r="S9" s="93"/>
      <c r="T9" s="93"/>
      <c r="U9" s="93"/>
      <c r="V9" s="93"/>
      <c r="W9" s="93"/>
      <c r="X9" s="93"/>
      <c r="Y9" s="93"/>
      <c r="Z9" s="93"/>
    </row>
    <row r="10" ht="12.75" customHeight="1">
      <c r="A10" s="100" t="s">
        <v>287</v>
      </c>
      <c r="B10" s="101">
        <v>30.0</v>
      </c>
      <c r="C10" s="103">
        <f>PI()*B10/180</f>
        <v>0.5235987756</v>
      </c>
      <c r="D10" s="93"/>
      <c r="E10" s="93"/>
      <c r="F10" s="93"/>
      <c r="G10" s="93"/>
      <c r="H10" s="93"/>
      <c r="I10" s="93"/>
      <c r="J10" s="93"/>
      <c r="K10" s="93"/>
      <c r="L10" s="93"/>
      <c r="M10" s="93"/>
      <c r="N10" s="93"/>
      <c r="O10" s="93"/>
      <c r="P10" s="93"/>
      <c r="Q10" s="93"/>
      <c r="R10" s="93"/>
      <c r="S10" s="93"/>
      <c r="T10" s="93"/>
      <c r="U10" s="93"/>
      <c r="V10" s="93"/>
      <c r="W10" s="93"/>
      <c r="X10" s="93"/>
      <c r="Y10" s="93"/>
      <c r="Z10" s="93"/>
    </row>
    <row r="11" ht="12.75" customHeight="1">
      <c r="A11" s="100" t="s">
        <v>49</v>
      </c>
      <c r="B11" s="101">
        <v>1.5</v>
      </c>
      <c r="C11" s="103"/>
      <c r="D11" s="93"/>
      <c r="E11" s="93"/>
      <c r="F11" s="93"/>
      <c r="G11" s="93"/>
      <c r="H11" s="93"/>
      <c r="I11" s="93"/>
      <c r="J11" s="93"/>
      <c r="K11" s="93"/>
      <c r="L11" s="93"/>
      <c r="M11" s="93"/>
      <c r="N11" s="93"/>
      <c r="O11" s="93"/>
      <c r="P11" s="93"/>
      <c r="Q11" s="93"/>
      <c r="R11" s="93"/>
      <c r="S11" s="93"/>
      <c r="T11" s="93"/>
      <c r="U11" s="93"/>
      <c r="V11" s="93"/>
      <c r="W11" s="93"/>
      <c r="X11" s="93"/>
      <c r="Y11" s="93"/>
      <c r="Z11" s="93"/>
    </row>
    <row r="12" ht="12.75" customHeight="1">
      <c r="A12" s="100" t="s">
        <v>288</v>
      </c>
      <c r="B12" s="104">
        <f>Lead/dscrew</f>
        <v>0.254</v>
      </c>
      <c r="C12" s="100"/>
      <c r="D12" s="93"/>
      <c r="E12" s="93"/>
      <c r="F12" s="93"/>
      <c r="G12" s="93"/>
      <c r="H12" s="93"/>
      <c r="I12" s="93"/>
      <c r="J12" s="93"/>
      <c r="K12" s="93"/>
      <c r="L12" s="93"/>
      <c r="M12" s="93"/>
      <c r="N12" s="93"/>
      <c r="O12" s="93"/>
      <c r="P12" s="93"/>
      <c r="Q12" s="93"/>
      <c r="R12" s="93"/>
      <c r="S12" s="93"/>
      <c r="T12" s="93"/>
      <c r="U12" s="93"/>
      <c r="V12" s="93"/>
      <c r="W12" s="93"/>
      <c r="X12" s="93"/>
      <c r="Y12" s="93"/>
      <c r="Z12" s="93"/>
    </row>
    <row r="13" ht="12.75" customHeight="1">
      <c r="A13" s="100" t="s">
        <v>289</v>
      </c>
      <c r="B13" s="105">
        <f>thrust*Lead/(2*PI()*et)</f>
        <v>6354.464858</v>
      </c>
      <c r="C13" s="106"/>
      <c r="D13" s="93"/>
      <c r="E13" s="93"/>
      <c r="F13" s="93"/>
      <c r="G13" s="93"/>
      <c r="H13" s="93"/>
      <c r="I13" s="93"/>
      <c r="J13" s="93"/>
      <c r="K13" s="93"/>
      <c r="L13" s="93"/>
      <c r="M13" s="93"/>
      <c r="N13" s="93"/>
      <c r="O13" s="93"/>
      <c r="P13" s="93"/>
      <c r="Q13" s="93"/>
      <c r="R13" s="93"/>
      <c r="S13" s="93"/>
      <c r="T13" s="93"/>
      <c r="U13" s="93"/>
      <c r="V13" s="93"/>
      <c r="W13" s="93"/>
      <c r="X13" s="93"/>
      <c r="Y13" s="93"/>
      <c r="Z13" s="93"/>
    </row>
    <row r="14" ht="12.75" customHeight="1">
      <c r="A14" s="100" t="s">
        <v>290</v>
      </c>
      <c r="B14" s="105">
        <f>thrust*(dthrust/2)*mu</f>
        <v>1800</v>
      </c>
      <c r="C14" s="106"/>
      <c r="D14" s="93"/>
      <c r="E14" s="93"/>
      <c r="F14" s="93"/>
      <c r="G14" s="93"/>
      <c r="H14" s="93"/>
      <c r="I14" s="93"/>
      <c r="J14" s="93"/>
      <c r="K14" s="93"/>
      <c r="L14" s="93"/>
      <c r="M14" s="93"/>
      <c r="N14" s="93"/>
      <c r="O14" s="93"/>
      <c r="P14" s="93"/>
      <c r="Q14" s="93"/>
      <c r="R14" s="93"/>
      <c r="S14" s="93"/>
      <c r="T14" s="93"/>
      <c r="U14" s="93"/>
      <c r="V14" s="93"/>
      <c r="W14" s="93"/>
      <c r="X14" s="93"/>
      <c r="Y14" s="93"/>
      <c r="Z14" s="93"/>
    </row>
    <row r="15" ht="12.75" customHeight="1">
      <c r="A15" s="100" t="s">
        <v>291</v>
      </c>
      <c r="B15" s="107">
        <f>Lead/(Lead+dthrust*mu*PI()*et)</f>
        <v>0.7792620324</v>
      </c>
      <c r="C15" s="106"/>
      <c r="D15" s="93"/>
      <c r="E15" s="93"/>
      <c r="F15" s="93"/>
      <c r="G15" s="93"/>
      <c r="H15" s="93"/>
      <c r="I15" s="93"/>
      <c r="J15" s="93"/>
      <c r="K15" s="93"/>
      <c r="L15" s="93"/>
      <c r="M15" s="93"/>
      <c r="N15" s="93"/>
      <c r="O15" s="93"/>
      <c r="P15" s="93"/>
      <c r="Q15" s="93"/>
      <c r="R15" s="93"/>
      <c r="S15" s="93"/>
      <c r="T15" s="93"/>
      <c r="U15" s="93"/>
      <c r="V15" s="93"/>
      <c r="W15" s="93"/>
      <c r="X15" s="93"/>
      <c r="Y15" s="93"/>
      <c r="Z15" s="93"/>
    </row>
    <row r="16" ht="12.75" customHeight="1">
      <c r="A16" s="100" t="s">
        <v>292</v>
      </c>
      <c r="B16" s="105">
        <f>B13+B14</f>
        <v>8154.464858</v>
      </c>
      <c r="C16" s="106"/>
      <c r="D16" s="93"/>
      <c r="E16" s="93"/>
      <c r="F16" s="93"/>
      <c r="G16" s="93"/>
      <c r="H16" s="93"/>
      <c r="I16" s="93"/>
      <c r="J16" s="93"/>
      <c r="K16" s="93"/>
      <c r="L16" s="93"/>
      <c r="M16" s="93"/>
      <c r="N16" s="93"/>
      <c r="O16" s="93"/>
      <c r="P16" s="93"/>
      <c r="Q16" s="93"/>
      <c r="R16" s="93"/>
      <c r="S16" s="93"/>
      <c r="T16" s="93"/>
      <c r="U16" s="93"/>
      <c r="V16" s="93"/>
      <c r="W16" s="93"/>
      <c r="X16" s="93"/>
      <c r="Y16" s="93"/>
      <c r="Z16" s="93"/>
    </row>
    <row r="17" ht="12.75" customHeight="1">
      <c r="A17" s="100" t="s">
        <v>293</v>
      </c>
      <c r="B17" s="108" t="str">
        <f>IF(Lead&lt;2*PI()*(dscrew/2)*mu/COS(alpha),"NO","YES")</f>
        <v>NO</v>
      </c>
      <c r="C17" s="106"/>
      <c r="D17" s="93"/>
      <c r="E17" s="93"/>
      <c r="F17" s="93"/>
      <c r="G17" s="93"/>
      <c r="H17" s="93"/>
      <c r="I17" s="93"/>
      <c r="J17" s="93"/>
      <c r="K17" s="93"/>
      <c r="L17" s="93"/>
      <c r="M17" s="93"/>
      <c r="N17" s="93"/>
      <c r="O17" s="93"/>
      <c r="P17" s="93"/>
      <c r="Q17" s="93"/>
      <c r="R17" s="93"/>
      <c r="S17" s="93"/>
      <c r="T17" s="93"/>
      <c r="U17" s="93"/>
      <c r="V17" s="93"/>
      <c r="W17" s="93"/>
      <c r="X17" s="93"/>
      <c r="Y17" s="93"/>
      <c r="Z17" s="93"/>
    </row>
    <row r="18" ht="12.75" customHeight="1">
      <c r="A18" s="100" t="s">
        <v>294</v>
      </c>
      <c r="B18" s="109">
        <f>(COS(alpha)-mu*Beta/PI())/(COS(alpha)+mu*PI()/Beta)</f>
        <v>0.2544689849</v>
      </c>
      <c r="C18" s="106"/>
      <c r="D18" s="93"/>
      <c r="E18" s="93"/>
      <c r="F18" s="93"/>
      <c r="G18" s="93"/>
      <c r="H18" s="93"/>
      <c r="I18" s="93"/>
      <c r="J18" s="93"/>
      <c r="K18" s="93"/>
      <c r="L18" s="93"/>
      <c r="M18" s="93"/>
      <c r="N18" s="93"/>
      <c r="O18" s="93"/>
      <c r="P18" s="93"/>
      <c r="Q18" s="93"/>
      <c r="R18" s="93"/>
      <c r="S18" s="93"/>
      <c r="T18" s="93"/>
      <c r="U18" s="93"/>
      <c r="V18" s="93"/>
      <c r="W18" s="93"/>
      <c r="X18" s="93"/>
      <c r="Y18" s="93"/>
      <c r="Z18" s="93"/>
    </row>
    <row r="19" ht="12.75" customHeight="1">
      <c r="A19" s="100" t="s">
        <v>295</v>
      </c>
      <c r="B19" s="109">
        <f>et*etathrust</f>
        <v>0.1982980183</v>
      </c>
      <c r="C19" s="106"/>
      <c r="D19" s="93"/>
      <c r="E19" s="93"/>
      <c r="F19" s="93"/>
      <c r="G19" s="93"/>
      <c r="H19" s="93"/>
      <c r="I19" s="93"/>
      <c r="J19" s="93"/>
      <c r="K19" s="93"/>
      <c r="L19" s="93"/>
      <c r="M19" s="93"/>
      <c r="N19" s="93"/>
      <c r="O19" s="93"/>
      <c r="P19" s="93"/>
      <c r="Q19" s="93"/>
      <c r="R19" s="93"/>
      <c r="S19" s="93"/>
      <c r="T19" s="93"/>
      <c r="U19" s="93"/>
      <c r="V19" s="93"/>
      <c r="W19" s="93"/>
      <c r="X19" s="93"/>
      <c r="Y19" s="93"/>
      <c r="Z19" s="93"/>
    </row>
    <row r="20" ht="12.75" customHeight="1">
      <c r="A20" s="100" t="s">
        <v>296</v>
      </c>
      <c r="B20" s="110">
        <f>(B13*16)/(PI()*(0.9*B8)^3)</f>
        <v>5.549215325</v>
      </c>
      <c r="C20" s="100"/>
      <c r="D20" s="93"/>
      <c r="E20" s="93"/>
      <c r="F20" s="93"/>
      <c r="G20" s="93"/>
      <c r="H20" s="93"/>
      <c r="I20" s="93"/>
      <c r="J20" s="93"/>
      <c r="K20" s="93"/>
      <c r="L20" s="93"/>
      <c r="M20" s="93"/>
      <c r="N20" s="93"/>
      <c r="O20" s="93"/>
      <c r="P20" s="93"/>
      <c r="Q20" s="93"/>
      <c r="R20" s="93"/>
      <c r="S20" s="93"/>
      <c r="T20" s="93"/>
      <c r="U20" s="93"/>
      <c r="V20" s="93"/>
      <c r="W20" s="93"/>
      <c r="X20" s="93"/>
      <c r="Y20" s="93"/>
      <c r="Z20" s="93"/>
    </row>
    <row r="21" ht="12.75" customHeight="1">
      <c r="A21" s="100" t="s">
        <v>297</v>
      </c>
      <c r="B21" s="110">
        <f>thrust/(PI()*(0.9*dscrew)^2/4)</f>
        <v>7.859503363</v>
      </c>
      <c r="C21" s="100"/>
      <c r="D21" s="93"/>
      <c r="E21" s="93"/>
      <c r="F21" s="93"/>
      <c r="G21" s="93"/>
      <c r="H21" s="93"/>
      <c r="I21" s="93"/>
      <c r="J21" s="93"/>
      <c r="K21" s="93"/>
      <c r="L21" s="93"/>
      <c r="M21" s="93"/>
      <c r="N21" s="93"/>
      <c r="O21" s="93"/>
      <c r="P21" s="93"/>
      <c r="Q21" s="93"/>
      <c r="R21" s="93"/>
      <c r="S21" s="93"/>
      <c r="T21" s="93"/>
      <c r="U21" s="93"/>
      <c r="V21" s="93"/>
      <c r="W21" s="93"/>
      <c r="X21" s="93"/>
      <c r="Y21" s="93"/>
      <c r="Z21" s="93"/>
    </row>
    <row r="22" ht="12.75" customHeight="1">
      <c r="A22" s="100" t="s">
        <v>298</v>
      </c>
      <c r="B22" s="111">
        <f>scf*SQRT(B21^2+3*B20^2)</f>
        <v>18.62376498</v>
      </c>
      <c r="C22" s="100"/>
      <c r="D22" s="93"/>
      <c r="E22" s="93"/>
      <c r="F22" s="93"/>
      <c r="G22" s="93"/>
      <c r="H22" s="93"/>
      <c r="I22" s="93"/>
      <c r="J22" s="93"/>
      <c r="K22" s="93"/>
      <c r="L22" s="93"/>
      <c r="M22" s="93"/>
      <c r="N22" s="93"/>
      <c r="O22" s="93"/>
      <c r="P22" s="93"/>
      <c r="Q22" s="93"/>
      <c r="R22" s="93"/>
      <c r="S22" s="93"/>
      <c r="T22" s="93"/>
      <c r="U22" s="93"/>
      <c r="V22" s="93"/>
      <c r="W22" s="93"/>
      <c r="X22" s="93"/>
      <c r="Y22" s="93"/>
      <c r="Z22" s="93"/>
    </row>
    <row r="23" ht="12.75" customHeight="1">
      <c r="A23" s="100" t="s">
        <v>299</v>
      </c>
      <c r="B23" s="101">
        <v>1.0</v>
      </c>
      <c r="C23" s="100"/>
      <c r="D23" s="93"/>
      <c r="E23" s="93"/>
      <c r="F23" s="93"/>
      <c r="G23" s="93"/>
      <c r="H23" s="93"/>
      <c r="I23" s="93"/>
      <c r="J23" s="93"/>
      <c r="K23" s="93"/>
      <c r="L23" s="93"/>
      <c r="M23" s="93"/>
      <c r="N23" s="93"/>
      <c r="O23" s="93"/>
      <c r="P23" s="93"/>
      <c r="Q23" s="93"/>
      <c r="R23" s="93"/>
      <c r="S23" s="93"/>
      <c r="T23" s="93"/>
      <c r="U23" s="93"/>
      <c r="V23" s="93"/>
      <c r="W23" s="93"/>
      <c r="X23" s="93"/>
      <c r="Y23" s="93"/>
      <c r="Z23" s="93"/>
    </row>
    <row r="24" ht="12.75" customHeight="1">
      <c r="A24" s="100" t="s">
        <v>300</v>
      </c>
      <c r="B24" s="101">
        <v>200.0</v>
      </c>
      <c r="C24" s="100"/>
      <c r="D24" s="93"/>
      <c r="E24" s="93"/>
      <c r="F24" s="93"/>
      <c r="G24" s="93"/>
      <c r="H24" s="93"/>
      <c r="I24" s="93"/>
      <c r="J24" s="93"/>
      <c r="K24" s="93"/>
      <c r="L24" s="93"/>
      <c r="M24" s="93"/>
      <c r="N24" s="93"/>
      <c r="O24" s="93"/>
      <c r="P24" s="93"/>
      <c r="Q24" s="93"/>
      <c r="R24" s="93"/>
      <c r="S24" s="93"/>
      <c r="T24" s="93"/>
      <c r="U24" s="93"/>
      <c r="V24" s="93"/>
      <c r="W24" s="93"/>
      <c r="X24" s="93"/>
      <c r="Y24" s="93"/>
      <c r="Z24" s="93"/>
    </row>
    <row r="25" ht="12.75" customHeight="1">
      <c r="A25" s="100" t="s">
        <v>301</v>
      </c>
      <c r="B25" s="101">
        <v>5.0</v>
      </c>
      <c r="C25" s="100"/>
      <c r="D25" s="93"/>
      <c r="E25" s="93"/>
      <c r="F25" s="93"/>
      <c r="G25" s="93"/>
      <c r="H25" s="93"/>
      <c r="I25" s="93"/>
      <c r="J25" s="93"/>
      <c r="K25" s="93"/>
      <c r="L25" s="93"/>
      <c r="M25" s="93"/>
      <c r="N25" s="93"/>
      <c r="O25" s="93"/>
      <c r="P25" s="93"/>
      <c r="Q25" s="93"/>
      <c r="R25" s="93"/>
      <c r="S25" s="93"/>
      <c r="T25" s="93"/>
      <c r="U25" s="93"/>
      <c r="V25" s="93"/>
      <c r="W25" s="93"/>
      <c r="X25" s="93"/>
      <c r="Y25" s="93"/>
      <c r="Z25" s="93"/>
    </row>
    <row r="26" ht="12.75" customHeight="1">
      <c r="A26" s="100" t="s">
        <v>302</v>
      </c>
      <c r="B26" s="104">
        <f>60*s*n/(Lead*tt)</f>
        <v>472.4409449</v>
      </c>
      <c r="C26" s="112">
        <f>B26*2*PI()/60</f>
        <v>49.47390006</v>
      </c>
      <c r="D26" s="93"/>
      <c r="E26" s="93"/>
      <c r="F26" s="93"/>
      <c r="G26" s="93"/>
      <c r="H26" s="93"/>
      <c r="I26" s="93"/>
      <c r="J26" s="93"/>
      <c r="K26" s="93"/>
      <c r="L26" s="93"/>
      <c r="M26" s="93"/>
      <c r="N26" s="93"/>
      <c r="O26" s="93"/>
      <c r="P26" s="93"/>
      <c r="Q26" s="93"/>
      <c r="R26" s="93"/>
      <c r="S26" s="93"/>
      <c r="T26" s="93"/>
      <c r="U26" s="93"/>
      <c r="V26" s="93"/>
      <c r="W26" s="93"/>
      <c r="X26" s="93"/>
      <c r="Y26" s="93"/>
      <c r="Z26" s="93"/>
    </row>
    <row r="27" ht="12.75" customHeight="1">
      <c r="A27" s="100" t="s">
        <v>303</v>
      </c>
      <c r="B27" s="113">
        <v>0.9</v>
      </c>
      <c r="C27" s="100"/>
      <c r="D27" s="114"/>
      <c r="E27" s="93"/>
      <c r="F27" s="93"/>
      <c r="G27" s="93"/>
      <c r="H27" s="93"/>
      <c r="I27" s="93"/>
      <c r="J27" s="93"/>
      <c r="K27" s="93"/>
      <c r="L27" s="93"/>
      <c r="M27" s="93"/>
      <c r="N27" s="93"/>
      <c r="O27" s="93"/>
      <c r="P27" s="93"/>
      <c r="Q27" s="93"/>
      <c r="R27" s="93"/>
      <c r="S27" s="93"/>
      <c r="T27" s="93"/>
      <c r="U27" s="93"/>
      <c r="V27" s="93"/>
      <c r="W27" s="93"/>
      <c r="X27" s="93"/>
      <c r="Y27" s="93"/>
      <c r="Z27" s="93"/>
    </row>
    <row r="28" ht="12.75" customHeight="1">
      <c r="A28" s="100" t="s">
        <v>304</v>
      </c>
      <c r="B28" s="112">
        <f>gamtotal/(n*etagearbox)</f>
        <v>9060.516509</v>
      </c>
      <c r="C28" s="106"/>
      <c r="D28" s="93"/>
      <c r="E28" s="93"/>
      <c r="F28" s="93"/>
      <c r="G28" s="93"/>
      <c r="H28" s="93"/>
      <c r="I28" s="93"/>
      <c r="J28" s="93"/>
      <c r="K28" s="93"/>
      <c r="L28" s="93"/>
      <c r="M28" s="93"/>
      <c r="N28" s="93"/>
      <c r="O28" s="93"/>
      <c r="P28" s="93"/>
      <c r="Q28" s="93"/>
      <c r="R28" s="93"/>
      <c r="S28" s="93"/>
      <c r="T28" s="93"/>
      <c r="U28" s="93"/>
      <c r="V28" s="93"/>
      <c r="W28" s="93"/>
      <c r="X28" s="93"/>
      <c r="Y28" s="93"/>
      <c r="Z28" s="93"/>
    </row>
    <row r="29" ht="12.75" customHeight="1">
      <c r="A29" s="100" t="s">
        <v>305</v>
      </c>
      <c r="B29" s="112">
        <f>B28*C26/1000</f>
        <v>448.2590882</v>
      </c>
      <c r="C29" s="106"/>
      <c r="D29" s="93"/>
      <c r="E29" s="93"/>
      <c r="F29" s="93"/>
      <c r="G29" s="93"/>
      <c r="H29" s="93"/>
      <c r="I29" s="93"/>
      <c r="J29" s="93"/>
      <c r="K29" s="93"/>
      <c r="L29" s="93"/>
      <c r="M29" s="93"/>
      <c r="N29" s="93"/>
      <c r="O29" s="93"/>
      <c r="P29" s="93"/>
      <c r="Q29" s="93"/>
      <c r="R29" s="93"/>
      <c r="S29" s="93"/>
      <c r="T29" s="93"/>
      <c r="U29" s="93"/>
      <c r="V29" s="93"/>
      <c r="W29" s="93"/>
      <c r="X29" s="93"/>
      <c r="Y29" s="93"/>
      <c r="Z29" s="93"/>
    </row>
    <row r="30" ht="12.75" customHeight="1">
      <c r="A30" s="115" t="s">
        <v>306</v>
      </c>
      <c r="B30" s="93"/>
      <c r="C30" s="93"/>
      <c r="D30" s="93"/>
      <c r="E30" s="93"/>
      <c r="F30" s="93"/>
      <c r="G30" s="93"/>
      <c r="H30" s="93"/>
      <c r="I30" s="93"/>
      <c r="J30" s="93"/>
      <c r="K30" s="93"/>
      <c r="L30" s="93"/>
      <c r="M30" s="93"/>
      <c r="N30" s="93"/>
      <c r="O30" s="93"/>
      <c r="P30" s="93"/>
      <c r="Q30" s="93"/>
      <c r="R30" s="93"/>
      <c r="S30" s="93"/>
      <c r="T30" s="93"/>
      <c r="U30" s="93"/>
      <c r="V30" s="93"/>
      <c r="W30" s="93"/>
      <c r="X30" s="93"/>
      <c r="Y30" s="93"/>
      <c r="Z30" s="93"/>
    </row>
    <row r="31" ht="12.75" customHeight="1">
      <c r="A31" s="93" t="s">
        <v>307</v>
      </c>
      <c r="B31" s="115">
        <v>102.0</v>
      </c>
      <c r="C31" s="116">
        <f t="shared" ref="C31:C32" si="1">B31/1000</f>
        <v>0.102</v>
      </c>
      <c r="D31" s="93"/>
      <c r="E31" s="93"/>
      <c r="F31" s="93"/>
      <c r="G31" s="93"/>
      <c r="H31" s="93"/>
      <c r="I31" s="93"/>
      <c r="J31" s="93"/>
      <c r="K31" s="93"/>
      <c r="L31" s="93"/>
      <c r="M31" s="93"/>
      <c r="N31" s="93"/>
      <c r="O31" s="93"/>
      <c r="P31" s="93"/>
      <c r="Q31" s="93"/>
      <c r="R31" s="93"/>
      <c r="S31" s="93"/>
      <c r="T31" s="93"/>
      <c r="U31" s="93"/>
      <c r="V31" s="93"/>
      <c r="W31" s="93"/>
      <c r="X31" s="93"/>
      <c r="Y31" s="93"/>
      <c r="Z31" s="93"/>
    </row>
    <row r="32" ht="12.75" customHeight="1">
      <c r="A32" s="93" t="s">
        <v>308</v>
      </c>
      <c r="B32" s="115">
        <v>3.04</v>
      </c>
      <c r="C32" s="116">
        <f t="shared" si="1"/>
        <v>0.00304</v>
      </c>
      <c r="D32" s="93" t="s">
        <v>309</v>
      </c>
      <c r="E32" s="93"/>
      <c r="F32" s="93"/>
      <c r="G32" s="93"/>
      <c r="H32" s="93"/>
      <c r="I32" s="93"/>
      <c r="J32" s="93"/>
      <c r="K32" s="93"/>
      <c r="L32" s="93"/>
      <c r="M32" s="93"/>
      <c r="N32" s="93"/>
      <c r="O32" s="93"/>
      <c r="P32" s="93"/>
      <c r="Q32" s="93"/>
      <c r="R32" s="93"/>
      <c r="S32" s="93"/>
      <c r="T32" s="93"/>
      <c r="U32" s="93"/>
      <c r="V32" s="93"/>
      <c r="W32" s="93"/>
      <c r="X32" s="93"/>
      <c r="Y32" s="93"/>
      <c r="Z32" s="93"/>
    </row>
    <row r="33" ht="12.75" customHeight="1">
      <c r="A33" s="93" t="s">
        <v>310</v>
      </c>
      <c r="B33" s="117">
        <f>dscrew/1000</f>
        <v>0.02</v>
      </c>
      <c r="C33" s="115"/>
      <c r="D33" s="93"/>
      <c r="E33" s="93"/>
      <c r="F33" s="93"/>
      <c r="G33" s="93"/>
      <c r="H33" s="93"/>
      <c r="I33" s="93"/>
      <c r="J33" s="93"/>
      <c r="K33" s="93"/>
      <c r="L33" s="93"/>
      <c r="M33" s="93"/>
      <c r="N33" s="93"/>
      <c r="O33" s="93"/>
      <c r="P33" s="93"/>
      <c r="Q33" s="93"/>
      <c r="R33" s="93"/>
      <c r="S33" s="93"/>
      <c r="T33" s="93"/>
      <c r="U33" s="93"/>
      <c r="V33" s="93"/>
      <c r="W33" s="93"/>
      <c r="X33" s="93"/>
      <c r="Y33" s="93"/>
      <c r="Z33" s="93"/>
    </row>
    <row r="34" ht="12.75" customHeight="1">
      <c r="A34" s="93" t="s">
        <v>311</v>
      </c>
      <c r="B34" s="115">
        <v>7900.0</v>
      </c>
      <c r="C34" s="93"/>
      <c r="D34" s="93"/>
      <c r="E34" s="93"/>
      <c r="F34" s="93"/>
      <c r="G34" s="93"/>
      <c r="H34" s="93"/>
      <c r="I34" s="93"/>
      <c r="J34" s="93"/>
      <c r="K34" s="93"/>
      <c r="L34" s="93"/>
      <c r="M34" s="93"/>
      <c r="N34" s="93"/>
      <c r="O34" s="93"/>
      <c r="P34" s="93"/>
      <c r="Q34" s="93"/>
      <c r="R34" s="93"/>
      <c r="S34" s="93"/>
      <c r="T34" s="93"/>
      <c r="U34" s="93"/>
      <c r="V34" s="93"/>
      <c r="W34" s="93"/>
      <c r="X34" s="93"/>
      <c r="Y34" s="93"/>
      <c r="Z34" s="93"/>
    </row>
    <row r="35" ht="12.75" customHeight="1">
      <c r="A35" s="93" t="s">
        <v>312</v>
      </c>
      <c r="B35" s="118">
        <v>2.0E11</v>
      </c>
      <c r="C35" s="93"/>
      <c r="D35" s="93"/>
      <c r="E35" s="93"/>
      <c r="F35" s="93"/>
      <c r="G35" s="93"/>
      <c r="H35" s="93"/>
      <c r="I35" s="93"/>
      <c r="J35" s="93"/>
      <c r="K35" s="93"/>
      <c r="L35" s="93"/>
      <c r="M35" s="93"/>
      <c r="N35" s="93"/>
      <c r="O35" s="93"/>
      <c r="P35" s="93"/>
      <c r="Q35" s="93"/>
      <c r="R35" s="93"/>
      <c r="S35" s="93"/>
      <c r="T35" s="93"/>
      <c r="U35" s="93"/>
      <c r="V35" s="93"/>
      <c r="W35" s="93"/>
      <c r="X35" s="93"/>
      <c r="Y35" s="93"/>
      <c r="Z35" s="93"/>
    </row>
    <row r="36" ht="12.75" customHeight="1">
      <c r="A36" s="93" t="s">
        <v>313</v>
      </c>
      <c r="B36" s="93">
        <f>PI()*do^2/4</f>
        <v>0.0003141592654</v>
      </c>
      <c r="C36" s="93" t="s">
        <v>314</v>
      </c>
      <c r="D36" s="93"/>
      <c r="E36" s="93"/>
      <c r="F36" s="93"/>
      <c r="G36" s="93"/>
      <c r="H36" s="93"/>
      <c r="I36" s="93"/>
      <c r="J36" s="93"/>
      <c r="K36" s="93"/>
      <c r="L36" s="93"/>
      <c r="M36" s="93"/>
      <c r="N36" s="93"/>
      <c r="O36" s="93"/>
      <c r="P36" s="93"/>
      <c r="Q36" s="93"/>
      <c r="R36" s="93"/>
      <c r="S36" s="93"/>
      <c r="T36" s="93"/>
      <c r="U36" s="93"/>
      <c r="V36" s="93"/>
      <c r="W36" s="93"/>
      <c r="X36" s="93"/>
      <c r="Y36" s="93"/>
      <c r="Z36" s="93"/>
    </row>
    <row r="37" ht="12.75" customHeight="1">
      <c r="A37" s="93" t="s">
        <v>315</v>
      </c>
      <c r="B37" s="93">
        <f>PI()*dr^4/64</f>
        <v>0</v>
      </c>
      <c r="C37" s="93" t="s">
        <v>316</v>
      </c>
      <c r="D37" s="93"/>
      <c r="E37" s="93"/>
      <c r="F37" s="93"/>
      <c r="G37" s="93"/>
      <c r="H37" s="93"/>
      <c r="I37" s="93"/>
      <c r="J37" s="93"/>
      <c r="K37" s="93"/>
      <c r="L37" s="93"/>
      <c r="M37" s="93"/>
      <c r="N37" s="93"/>
      <c r="O37" s="93"/>
      <c r="P37" s="93"/>
      <c r="Q37" s="93"/>
      <c r="R37" s="93"/>
      <c r="S37" s="93"/>
      <c r="T37" s="93"/>
      <c r="U37" s="93"/>
      <c r="V37" s="93"/>
      <c r="W37" s="93"/>
      <c r="X37" s="93"/>
      <c r="Y37" s="93"/>
      <c r="Z37" s="93"/>
    </row>
    <row r="38" ht="12.75" customHeight="1">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row>
    <row r="39" ht="12.75" customHeight="1">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row>
    <row r="40" ht="12.75" customHeight="1">
      <c r="A40" s="93"/>
      <c r="B40" s="119" t="s">
        <v>317</v>
      </c>
      <c r="C40" s="119" t="s">
        <v>318</v>
      </c>
      <c r="D40" s="119" t="s">
        <v>319</v>
      </c>
      <c r="E40" s="119" t="s">
        <v>320</v>
      </c>
      <c r="F40" s="93"/>
      <c r="G40" s="93"/>
      <c r="H40" s="93"/>
      <c r="I40" s="93"/>
      <c r="J40" s="93"/>
      <c r="K40" s="93"/>
      <c r="L40" s="93"/>
      <c r="M40" s="93"/>
      <c r="N40" s="93"/>
      <c r="O40" s="93"/>
      <c r="P40" s="93"/>
      <c r="Q40" s="93"/>
      <c r="R40" s="93"/>
      <c r="S40" s="93"/>
      <c r="T40" s="93"/>
      <c r="U40" s="93"/>
      <c r="V40" s="93"/>
      <c r="W40" s="93"/>
      <c r="X40" s="93"/>
      <c r="Y40" s="93"/>
      <c r="Z40" s="93"/>
    </row>
    <row r="41" ht="12.75" customHeight="1">
      <c r="A41" s="93" t="s">
        <v>321</v>
      </c>
      <c r="B41" s="120">
        <f>2.47*E*I/L^2</f>
        <v>199.0631346</v>
      </c>
      <c r="C41" s="120">
        <f>9.87*E*I/L^2</f>
        <v>795.4466148</v>
      </c>
      <c r="D41" s="120">
        <f>20.2*E*I/L^2</f>
        <v>1627.965716</v>
      </c>
      <c r="E41" s="120">
        <f>39.5*E*I/L^2</f>
        <v>3183.398307</v>
      </c>
      <c r="F41" s="93"/>
      <c r="G41" s="93"/>
      <c r="H41" s="93"/>
      <c r="I41" s="93"/>
      <c r="J41" s="93"/>
      <c r="K41" s="93"/>
      <c r="L41" s="93"/>
      <c r="M41" s="93"/>
      <c r="N41" s="93"/>
      <c r="O41" s="93"/>
      <c r="P41" s="93"/>
      <c r="Q41" s="93"/>
      <c r="R41" s="93"/>
      <c r="S41" s="93"/>
      <c r="T41" s="93"/>
      <c r="U41" s="93"/>
      <c r="V41" s="93"/>
      <c r="W41" s="93"/>
      <c r="X41" s="93"/>
      <c r="Y41" s="93"/>
      <c r="Z41" s="93"/>
    </row>
    <row r="42" ht="12.75" customHeight="1">
      <c r="A42" s="93" t="s">
        <v>322</v>
      </c>
      <c r="B42" s="120">
        <f>1.875^2*SQRT(E*I/(A*rho*L^4))*(60/(2*PI()))</f>
        <v>1875.565412</v>
      </c>
      <c r="C42" s="120">
        <f>3.142^2*SQRT(E*I/(A*rho*L^4))*(60/(2*PI()))</f>
        <v>5266.741855</v>
      </c>
      <c r="D42" s="120">
        <f>3.927^2*SQRT(E*I/(A*rho*L^4))*(60/(2*PI()))</f>
        <v>8227.188984</v>
      </c>
      <c r="E42" s="120">
        <f>4.73^2*SQRT(E*I/(A*rho*L^4))*(60/(2*PI()))</f>
        <v>11935.81153</v>
      </c>
      <c r="F42" s="93"/>
      <c r="G42" s="93"/>
      <c r="H42" s="93"/>
      <c r="I42" s="93"/>
      <c r="J42" s="93"/>
      <c r="K42" s="93"/>
      <c r="L42" s="93"/>
      <c r="M42" s="93"/>
      <c r="N42" s="93"/>
      <c r="O42" s="93"/>
      <c r="P42" s="93"/>
      <c r="Q42" s="93"/>
      <c r="R42" s="93"/>
      <c r="S42" s="93"/>
      <c r="T42" s="93"/>
      <c r="U42" s="93"/>
      <c r="V42" s="93"/>
      <c r="W42" s="93"/>
      <c r="X42" s="93"/>
      <c r="Y42" s="93"/>
      <c r="Z42" s="93"/>
    </row>
    <row r="43" ht="12.75" customHeight="1">
      <c r="A43" s="93" t="s">
        <v>323</v>
      </c>
      <c r="B43" s="120">
        <f>4.694^2*SQRT(E*I/(A*rho*L^4))*(60/(2*PI()))</f>
        <v>11754.81616</v>
      </c>
      <c r="C43" s="120">
        <f>6.283^2*SQRT(E*I/(A*rho*L^4))*(60/(2*PI()))</f>
        <v>21060.263</v>
      </c>
      <c r="D43" s="120">
        <f>7.069^2*SQRT(E*I/(A*rho*L^4))*(60/(2*PI()))</f>
        <v>26659.10924</v>
      </c>
      <c r="E43" s="120">
        <f>7.853^2*SQRT(E*I/(A*rho*L^4))*(60/(2*PI()))</f>
        <v>32900.37634</v>
      </c>
      <c r="F43" s="93"/>
      <c r="G43" s="93"/>
      <c r="H43" s="93"/>
      <c r="I43" s="93"/>
      <c r="J43" s="93"/>
      <c r="K43" s="93"/>
      <c r="L43" s="93"/>
      <c r="M43" s="93"/>
      <c r="N43" s="93"/>
      <c r="O43" s="93"/>
      <c r="P43" s="93"/>
      <c r="Q43" s="93"/>
      <c r="R43" s="93"/>
      <c r="S43" s="93"/>
      <c r="T43" s="93"/>
      <c r="U43" s="93"/>
      <c r="V43" s="93"/>
      <c r="W43" s="93"/>
      <c r="X43" s="93"/>
      <c r="Y43" s="93"/>
      <c r="Z43" s="93"/>
    </row>
    <row r="44" ht="12.75" customHeight="1">
      <c r="A44" s="93" t="s">
        <v>324</v>
      </c>
      <c r="B44" s="120">
        <f>7.855^2*SQRT(E*I/(A*rho*L^4))*(60/(2*PI()))</f>
        <v>32917.1366</v>
      </c>
      <c r="C44" s="120">
        <f>9.425^2*SQRT(E*I/(A*rho*L^4))*(60/(2*PI()))</f>
        <v>47390.6198</v>
      </c>
      <c r="D44" s="120">
        <f>10.21^2*SQRT(E*I/(A*rho*L^4))*(60/(2*PI()))</f>
        <v>55613.61872</v>
      </c>
      <c r="E44" s="120">
        <f>10.996^2*SQRT(E*I/(A*rho*L^4))*(60/(2*PI()))</f>
        <v>64505.85459</v>
      </c>
      <c r="F44" s="93"/>
      <c r="G44" s="93"/>
      <c r="H44" s="93"/>
      <c r="I44" s="93"/>
      <c r="J44" s="93"/>
      <c r="K44" s="93"/>
      <c r="L44" s="93"/>
      <c r="M44" s="93"/>
      <c r="N44" s="93"/>
      <c r="O44" s="93"/>
      <c r="P44" s="93"/>
      <c r="Q44" s="93"/>
      <c r="R44" s="93"/>
      <c r="S44" s="93"/>
      <c r="T44" s="93"/>
      <c r="U44" s="93"/>
      <c r="V44" s="93"/>
      <c r="W44" s="93"/>
      <c r="X44" s="93"/>
      <c r="Y44" s="93"/>
      <c r="Z44" s="93"/>
    </row>
    <row r="45" ht="12.75" customHeight="1">
      <c r="A45" s="93" t="s">
        <v>325</v>
      </c>
      <c r="B45" s="120">
        <f>10.996^2*SQRT(E*I/(A*rho*L^4))*(60/(2*PI()))</f>
        <v>64505.85459</v>
      </c>
      <c r="C45" s="120">
        <f>12.566^2*SQRT(E*I/(A*rho*L^4))*(60/(2*PI()))</f>
        <v>84241.052</v>
      </c>
      <c r="D45" s="120">
        <f>13.352^2*SQRT(E*I/(A*rho*L^4))*(60/(2*PI()))</f>
        <v>95109.15392</v>
      </c>
      <c r="E45" s="120">
        <f>14.137^2*SQRT(E*I/(A*rho*L^4))*(60/(2*PI()))</f>
        <v>106621.3524</v>
      </c>
      <c r="F45" s="93"/>
      <c r="G45" s="93"/>
      <c r="H45" s="93"/>
      <c r="I45" s="93"/>
      <c r="J45" s="93"/>
      <c r="K45" s="93"/>
      <c r="L45" s="93"/>
      <c r="M45" s="93"/>
      <c r="N45" s="93"/>
      <c r="O45" s="93"/>
      <c r="P45" s="93"/>
      <c r="Q45" s="93"/>
      <c r="R45" s="93"/>
      <c r="S45" s="93"/>
      <c r="T45" s="93"/>
      <c r="U45" s="93"/>
      <c r="V45" s="93"/>
      <c r="W45" s="93"/>
      <c r="X45" s="93"/>
      <c r="Y45" s="93"/>
      <c r="Z45" s="93"/>
    </row>
    <row r="46" ht="12.75" customHeight="1">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row>
    <row r="47" ht="12.75" customHeight="1">
      <c r="A47" s="93" t="s">
        <v>326</v>
      </c>
      <c r="B47" s="121">
        <f>L/24</f>
        <v>0.00425</v>
      </c>
      <c r="C47" s="93"/>
      <c r="D47" s="93"/>
      <c r="E47" s="93"/>
      <c r="F47" s="93"/>
      <c r="G47" s="93"/>
      <c r="H47" s="93"/>
      <c r="I47" s="93"/>
      <c r="J47" s="93"/>
      <c r="K47" s="93"/>
      <c r="L47" s="93"/>
      <c r="M47" s="93"/>
      <c r="N47" s="93"/>
      <c r="O47" s="93"/>
      <c r="P47" s="93"/>
      <c r="Q47" s="93"/>
      <c r="R47" s="93"/>
      <c r="S47" s="93"/>
      <c r="T47" s="93"/>
      <c r="U47" s="93"/>
      <c r="V47" s="93"/>
      <c r="W47" s="93"/>
      <c r="X47" s="93"/>
      <c r="Y47" s="93"/>
      <c r="Z47" s="93"/>
    </row>
    <row r="48" ht="12.75" customHeight="1">
      <c r="A48" s="93" t="s">
        <v>327</v>
      </c>
      <c r="B48" s="115">
        <v>3.142</v>
      </c>
      <c r="C48" s="93"/>
      <c r="D48" s="93"/>
      <c r="E48" s="93"/>
      <c r="F48" s="93"/>
      <c r="G48" s="93"/>
      <c r="H48" s="93"/>
      <c r="I48" s="93"/>
      <c r="J48" s="93"/>
      <c r="K48" s="93"/>
      <c r="L48" s="93"/>
      <c r="M48" s="93"/>
      <c r="N48" s="93"/>
      <c r="O48" s="93"/>
      <c r="P48" s="93"/>
      <c r="Q48" s="93"/>
      <c r="R48" s="93"/>
      <c r="S48" s="93"/>
      <c r="T48" s="93"/>
      <c r="U48" s="93"/>
      <c r="V48" s="93"/>
      <c r="W48" s="93"/>
      <c r="X48" s="93"/>
      <c r="Y48" s="93"/>
      <c r="Z48" s="93"/>
    </row>
    <row r="49" ht="12.75" customHeight="1">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row>
    <row r="50" ht="12.75" customHeight="1">
      <c r="A50" s="93" t="s">
        <v>328</v>
      </c>
      <c r="B50" s="93" t="s">
        <v>329</v>
      </c>
      <c r="C50" s="93" t="s">
        <v>330</v>
      </c>
      <c r="D50" s="93" t="s">
        <v>331</v>
      </c>
      <c r="E50" s="93" t="s">
        <v>332</v>
      </c>
      <c r="F50" s="93"/>
      <c r="G50" s="93"/>
      <c r="H50" s="93"/>
      <c r="I50" s="93"/>
      <c r="J50" s="93"/>
      <c r="K50" s="93"/>
      <c r="L50" s="93"/>
      <c r="M50" s="93"/>
      <c r="N50" s="93"/>
      <c r="O50" s="93"/>
      <c r="P50" s="93"/>
      <c r="Q50" s="93"/>
      <c r="R50" s="93"/>
      <c r="S50" s="93"/>
      <c r="T50" s="93"/>
      <c r="U50" s="93"/>
      <c r="V50" s="93"/>
      <c r="W50" s="93"/>
      <c r="X50" s="93"/>
      <c r="Y50" s="93"/>
      <c r="Z50" s="93"/>
    </row>
    <row r="51" ht="12.75" customHeight="1">
      <c r="A51" s="122">
        <f>L</f>
        <v>0.102</v>
      </c>
      <c r="B51" s="122">
        <f>E51/L</f>
        <v>0</v>
      </c>
      <c r="C51" s="114">
        <f t="shared" ref="C51:C75" si="2">60*D51/(2*PI())</f>
        <v>5266.741855</v>
      </c>
      <c r="D51" s="114">
        <f>K^2*SQRT(E*I/(A*rho*A51^4))</f>
        <v>551.5319174</v>
      </c>
      <c r="E51" s="123">
        <f>0/L</f>
        <v>0</v>
      </c>
      <c r="F51" s="93"/>
      <c r="G51" s="93"/>
      <c r="H51" s="93"/>
      <c r="I51" s="93"/>
      <c r="J51" s="93"/>
      <c r="K51" s="93"/>
      <c r="L51" s="93"/>
      <c r="M51" s="93"/>
      <c r="N51" s="93"/>
      <c r="O51" s="93"/>
      <c r="P51" s="93"/>
      <c r="Q51" s="93"/>
      <c r="R51" s="93"/>
      <c r="S51" s="93"/>
      <c r="T51" s="93"/>
      <c r="U51" s="93"/>
      <c r="V51" s="93"/>
      <c r="W51" s="93"/>
      <c r="X51" s="93"/>
      <c r="Y51" s="93"/>
      <c r="Z51" s="93"/>
    </row>
    <row r="52" ht="12.75" customHeight="1">
      <c r="A52" s="122">
        <f>A51-Iinc</f>
        <v>0.09775</v>
      </c>
      <c r="B52" s="122">
        <f>E52/L</f>
        <v>0.04166666667</v>
      </c>
      <c r="C52" s="114">
        <f t="shared" si="2"/>
        <v>5734.675442</v>
      </c>
      <c r="D52" s="114">
        <f>K^2*SQRT(E*I/(A*rho*A52^4))</f>
        <v>600.5338079</v>
      </c>
      <c r="E52" s="123">
        <f>(E51+Iinc)</f>
        <v>0.00425</v>
      </c>
      <c r="F52" s="93"/>
      <c r="G52" s="93"/>
      <c r="H52" s="93"/>
      <c r="I52" s="93"/>
      <c r="J52" s="93"/>
      <c r="K52" s="93"/>
      <c r="L52" s="93"/>
      <c r="M52" s="93"/>
      <c r="N52" s="93"/>
      <c r="O52" s="93"/>
      <c r="P52" s="93"/>
      <c r="Q52" s="93"/>
      <c r="R52" s="93"/>
      <c r="S52" s="93"/>
      <c r="T52" s="93"/>
      <c r="U52" s="93"/>
      <c r="V52" s="93"/>
      <c r="W52" s="93"/>
      <c r="X52" s="93"/>
      <c r="Y52" s="93"/>
      <c r="Z52" s="93"/>
    </row>
    <row r="53" ht="12.75" customHeight="1">
      <c r="A53" s="122">
        <f>A52-Iinc</f>
        <v>0.0935</v>
      </c>
      <c r="B53" s="122">
        <f>E53/L</f>
        <v>0.08333333333</v>
      </c>
      <c r="C53" s="114">
        <f t="shared" si="2"/>
        <v>6267.858076</v>
      </c>
      <c r="D53" s="114">
        <f>K^2*SQRT(E*I/(A*rho*A53^4))</f>
        <v>656.3685628</v>
      </c>
      <c r="E53" s="123">
        <f>(E52+Iinc)</f>
        <v>0.0085</v>
      </c>
      <c r="F53" s="93"/>
      <c r="G53" s="93"/>
      <c r="H53" s="93"/>
      <c r="I53" s="93"/>
      <c r="J53" s="93"/>
      <c r="K53" s="93"/>
      <c r="L53" s="93"/>
      <c r="M53" s="93"/>
      <c r="N53" s="93"/>
      <c r="O53" s="93"/>
      <c r="P53" s="93"/>
      <c r="Q53" s="93"/>
      <c r="R53" s="93"/>
      <c r="S53" s="93"/>
      <c r="T53" s="93"/>
      <c r="U53" s="93"/>
      <c r="V53" s="93"/>
      <c r="W53" s="93"/>
      <c r="X53" s="93"/>
      <c r="Y53" s="93"/>
      <c r="Z53" s="93"/>
    </row>
    <row r="54" ht="12.75" customHeight="1">
      <c r="A54" s="122">
        <f>A53-Iinc</f>
        <v>0.08925</v>
      </c>
      <c r="B54" s="122">
        <f>E54/L</f>
        <v>0.125</v>
      </c>
      <c r="C54" s="114">
        <f t="shared" si="2"/>
        <v>6879.00977</v>
      </c>
      <c r="D54" s="114">
        <f>K^2*SQRT(E*I/(A*rho*A54^4))</f>
        <v>720.3682186</v>
      </c>
      <c r="E54" s="123">
        <f>(E53+Iinc)</f>
        <v>0.01275</v>
      </c>
      <c r="F54" s="93"/>
      <c r="G54" s="93"/>
      <c r="H54" s="93"/>
      <c r="I54" s="93"/>
      <c r="J54" s="93"/>
      <c r="K54" s="93"/>
      <c r="L54" s="93"/>
      <c r="M54" s="93"/>
      <c r="N54" s="93"/>
      <c r="O54" s="93"/>
      <c r="P54" s="93"/>
      <c r="Q54" s="93"/>
      <c r="R54" s="93"/>
      <c r="S54" s="93"/>
      <c r="T54" s="93"/>
      <c r="U54" s="93"/>
      <c r="V54" s="93"/>
      <c r="W54" s="93"/>
      <c r="X54" s="93"/>
      <c r="Y54" s="93"/>
      <c r="Z54" s="93"/>
    </row>
    <row r="55" ht="12.75" customHeight="1">
      <c r="A55" s="122">
        <f>A54-Iinc</f>
        <v>0.085</v>
      </c>
      <c r="B55" s="122">
        <f>E55/L</f>
        <v>0.1666666667</v>
      </c>
      <c r="C55" s="114">
        <f t="shared" si="2"/>
        <v>7584.108272</v>
      </c>
      <c r="D55" s="114">
        <f>K^2*SQRT(E*I/(A*rho*A55^4))</f>
        <v>794.205961</v>
      </c>
      <c r="E55" s="123">
        <f>(E54+Iinc)</f>
        <v>0.017</v>
      </c>
      <c r="F55" s="93"/>
      <c r="G55" s="93"/>
      <c r="H55" s="93"/>
      <c r="I55" s="93"/>
      <c r="J55" s="93"/>
      <c r="K55" s="93"/>
      <c r="L55" s="93"/>
      <c r="M55" s="93"/>
      <c r="N55" s="93"/>
      <c r="O55" s="93"/>
      <c r="P55" s="93"/>
      <c r="Q55" s="93"/>
      <c r="R55" s="93"/>
      <c r="S55" s="93"/>
      <c r="T55" s="93"/>
      <c r="U55" s="93"/>
      <c r="V55" s="93"/>
      <c r="W55" s="93"/>
      <c r="X55" s="93"/>
      <c r="Y55" s="93"/>
      <c r="Z55" s="93"/>
    </row>
    <row r="56" ht="12.75" customHeight="1">
      <c r="A56" s="122">
        <f>A55-Iinc</f>
        <v>0.08075</v>
      </c>
      <c r="B56" s="122">
        <f>E56/L</f>
        <v>0.2083333333</v>
      </c>
      <c r="C56" s="114">
        <f t="shared" si="2"/>
        <v>8403.444068</v>
      </c>
      <c r="D56" s="114">
        <f>K^2*SQRT(E*I/(A*rho*A56^4))</f>
        <v>880.006605</v>
      </c>
      <c r="E56" s="123">
        <f>(E55+Iinc)</f>
        <v>0.02125</v>
      </c>
      <c r="F56" s="93"/>
      <c r="G56" s="93"/>
      <c r="H56" s="93"/>
      <c r="I56" s="93"/>
      <c r="J56" s="93"/>
      <c r="K56" s="93"/>
      <c r="L56" s="93"/>
      <c r="M56" s="93"/>
      <c r="N56" s="93"/>
      <c r="O56" s="93"/>
      <c r="P56" s="93"/>
      <c r="Q56" s="93"/>
      <c r="R56" s="93"/>
      <c r="S56" s="93"/>
      <c r="T56" s="93"/>
      <c r="U56" s="93"/>
      <c r="V56" s="93"/>
      <c r="W56" s="93"/>
      <c r="X56" s="93"/>
      <c r="Y56" s="93"/>
      <c r="Z56" s="93"/>
    </row>
    <row r="57" ht="12.75" customHeight="1">
      <c r="A57" s="122">
        <f>A56-Iinc</f>
        <v>0.0765</v>
      </c>
      <c r="B57" s="122">
        <f>E57/L</f>
        <v>0.25</v>
      </c>
      <c r="C57" s="114">
        <f t="shared" si="2"/>
        <v>9363.096632</v>
      </c>
      <c r="D57" s="114">
        <f>K^2*SQRT(E*I/(A*rho*A57^4))</f>
        <v>980.5011864</v>
      </c>
      <c r="E57" s="123">
        <f>(E56+Iinc)</f>
        <v>0.0255</v>
      </c>
      <c r="F57" s="93"/>
      <c r="G57" s="93"/>
      <c r="H57" s="93"/>
      <c r="I57" s="93"/>
      <c r="J57" s="93"/>
      <c r="K57" s="93"/>
      <c r="L57" s="93"/>
      <c r="M57" s="93"/>
      <c r="N57" s="93"/>
      <c r="O57" s="93"/>
      <c r="P57" s="93"/>
      <c r="Q57" s="93"/>
      <c r="R57" s="93"/>
      <c r="S57" s="93"/>
      <c r="T57" s="93"/>
      <c r="U57" s="93"/>
      <c r="V57" s="93"/>
      <c r="W57" s="93"/>
      <c r="X57" s="93"/>
      <c r="Y57" s="93"/>
      <c r="Z57" s="93"/>
    </row>
    <row r="58" ht="12.75" customHeight="1">
      <c r="A58" s="122">
        <f>A57-Iinc</f>
        <v>0.07225</v>
      </c>
      <c r="B58" s="122">
        <f>E58/L</f>
        <v>0.2916666667</v>
      </c>
      <c r="C58" s="114">
        <f t="shared" si="2"/>
        <v>10497.03567</v>
      </c>
      <c r="D58" s="114">
        <f>K^2*SQRT(E*I/(A*rho*A58^4))</f>
        <v>1099.247005</v>
      </c>
      <c r="E58" s="123">
        <f>(E57+Iinc)</f>
        <v>0.02975</v>
      </c>
      <c r="F58" s="93"/>
      <c r="G58" s="93"/>
      <c r="H58" s="93"/>
      <c r="I58" s="93"/>
      <c r="J58" s="93"/>
      <c r="K58" s="93"/>
      <c r="L58" s="93"/>
      <c r="M58" s="93"/>
      <c r="N58" s="93"/>
      <c r="O58" s="93"/>
      <c r="P58" s="93"/>
      <c r="Q58" s="93"/>
      <c r="R58" s="93"/>
      <c r="S58" s="93"/>
      <c r="T58" s="93"/>
      <c r="U58" s="93"/>
      <c r="V58" s="93"/>
      <c r="W58" s="93"/>
      <c r="X58" s="93"/>
      <c r="Y58" s="93"/>
      <c r="Z58" s="93"/>
    </row>
    <row r="59" ht="12.75" customHeight="1">
      <c r="A59" s="122">
        <f>A58-Iinc</f>
        <v>0.068</v>
      </c>
      <c r="B59" s="122">
        <f>E59/L</f>
        <v>0.3333333333</v>
      </c>
      <c r="C59" s="114">
        <f t="shared" si="2"/>
        <v>11850.16917</v>
      </c>
      <c r="D59" s="114">
        <f>K^2*SQRT(E*I/(A*rho*A59^4))</f>
        <v>1240.946814</v>
      </c>
      <c r="E59" s="123">
        <f>(E58+Iinc)</f>
        <v>0.034</v>
      </c>
      <c r="F59" s="93"/>
      <c r="G59" s="93"/>
      <c r="H59" s="93"/>
      <c r="I59" s="93"/>
      <c r="J59" s="93"/>
      <c r="K59" s="93"/>
      <c r="L59" s="93"/>
      <c r="M59" s="93"/>
      <c r="N59" s="93"/>
      <c r="O59" s="93"/>
      <c r="P59" s="93"/>
      <c r="Q59" s="93"/>
      <c r="R59" s="93"/>
      <c r="S59" s="93"/>
      <c r="T59" s="93"/>
      <c r="U59" s="93"/>
      <c r="V59" s="93"/>
      <c r="W59" s="93"/>
      <c r="X59" s="93"/>
      <c r="Y59" s="93"/>
      <c r="Z59" s="93"/>
    </row>
    <row r="60" ht="12.75" customHeight="1">
      <c r="A60" s="122">
        <f>A59-Iinc</f>
        <v>0.06375</v>
      </c>
      <c r="B60" s="122">
        <f>E60/L</f>
        <v>0.375</v>
      </c>
      <c r="C60" s="114">
        <f t="shared" si="2"/>
        <v>13482.85915</v>
      </c>
      <c r="D60" s="114">
        <f>K^2*SQRT(E*I/(A*rho*A60^4))</f>
        <v>1411.921708</v>
      </c>
      <c r="E60" s="123">
        <f>(E59+Iinc)</f>
        <v>0.03825</v>
      </c>
      <c r="F60" s="93"/>
      <c r="G60" s="93"/>
      <c r="H60" s="93"/>
      <c r="I60" s="93"/>
      <c r="J60" s="93"/>
      <c r="K60" s="93"/>
      <c r="L60" s="93"/>
      <c r="M60" s="93"/>
      <c r="N60" s="93"/>
      <c r="O60" s="93"/>
      <c r="P60" s="93"/>
      <c r="Q60" s="93"/>
      <c r="R60" s="93"/>
      <c r="S60" s="93"/>
      <c r="T60" s="93"/>
      <c r="U60" s="93"/>
      <c r="V60" s="93"/>
      <c r="W60" s="93"/>
      <c r="X60" s="93"/>
      <c r="Y60" s="93"/>
      <c r="Z60" s="93"/>
    </row>
    <row r="61" ht="12.75" customHeight="1">
      <c r="A61" s="122">
        <f>A60-Iinc</f>
        <v>0.0595</v>
      </c>
      <c r="B61" s="122">
        <f>E61/L</f>
        <v>0.4166666667</v>
      </c>
      <c r="C61" s="114">
        <f t="shared" si="2"/>
        <v>15477.77198</v>
      </c>
      <c r="D61" s="114">
        <f>K^2*SQRT(E*I/(A*rho*A61^4))</f>
        <v>1620.828492</v>
      </c>
      <c r="E61" s="123">
        <f>(E60+Iinc)</f>
        <v>0.0425</v>
      </c>
      <c r="F61" s="93"/>
      <c r="G61" s="93"/>
      <c r="H61" s="93"/>
      <c r="I61" s="93"/>
      <c r="J61" s="93"/>
      <c r="K61" s="93"/>
      <c r="L61" s="93"/>
      <c r="M61" s="93"/>
      <c r="N61" s="93"/>
      <c r="O61" s="93"/>
      <c r="P61" s="93"/>
      <c r="Q61" s="93"/>
      <c r="R61" s="93"/>
      <c r="S61" s="93"/>
      <c r="T61" s="93"/>
      <c r="U61" s="93"/>
      <c r="V61" s="93"/>
      <c r="W61" s="93"/>
      <c r="X61" s="93"/>
      <c r="Y61" s="93"/>
      <c r="Z61" s="93"/>
    </row>
    <row r="62" ht="12.75" customHeight="1">
      <c r="A62" s="122">
        <f>A61-Iinc</f>
        <v>0.05525</v>
      </c>
      <c r="B62" s="122">
        <f>E62/L</f>
        <v>0.4583333333</v>
      </c>
      <c r="C62" s="114">
        <f t="shared" si="2"/>
        <v>17950.55212</v>
      </c>
      <c r="D62" s="114">
        <f>K^2*SQRT(E*I/(A*rho*A62^4))</f>
        <v>1879.777423</v>
      </c>
      <c r="E62" s="123">
        <f>(E61+Iinc)</f>
        <v>0.04675</v>
      </c>
      <c r="F62" s="93"/>
      <c r="G62" s="93"/>
      <c r="H62" s="93"/>
      <c r="I62" s="93"/>
      <c r="J62" s="93"/>
      <c r="K62" s="93"/>
      <c r="L62" s="93"/>
      <c r="M62" s="93"/>
      <c r="N62" s="93"/>
      <c r="O62" s="93"/>
      <c r="P62" s="93"/>
      <c r="Q62" s="93"/>
      <c r="R62" s="93"/>
      <c r="S62" s="93"/>
      <c r="T62" s="93"/>
      <c r="U62" s="93"/>
      <c r="V62" s="93"/>
      <c r="W62" s="93"/>
      <c r="X62" s="93"/>
      <c r="Y62" s="93"/>
      <c r="Z62" s="93"/>
    </row>
    <row r="63" ht="12.75" customHeight="1">
      <c r="A63" s="122">
        <f>A62-Iinc</f>
        <v>0.051</v>
      </c>
      <c r="B63" s="122">
        <f>E63/L</f>
        <v>0.5</v>
      </c>
      <c r="C63" s="114">
        <f t="shared" si="2"/>
        <v>21066.96742</v>
      </c>
      <c r="D63" s="114">
        <f>K^2*SQRT(E*I/(A*rho*A63^4))</f>
        <v>2206.127669</v>
      </c>
      <c r="E63" s="123">
        <f>(E62+Iinc)</f>
        <v>0.051</v>
      </c>
      <c r="F63" s="93"/>
      <c r="G63" s="93"/>
      <c r="H63" s="93"/>
      <c r="I63" s="93"/>
      <c r="J63" s="93"/>
      <c r="K63" s="93"/>
      <c r="L63" s="93"/>
      <c r="M63" s="93"/>
      <c r="N63" s="93"/>
      <c r="O63" s="93"/>
      <c r="P63" s="93"/>
      <c r="Q63" s="93"/>
      <c r="R63" s="93"/>
      <c r="S63" s="93"/>
      <c r="T63" s="93"/>
      <c r="U63" s="93"/>
      <c r="V63" s="93"/>
      <c r="W63" s="93"/>
      <c r="X63" s="93"/>
      <c r="Y63" s="93"/>
      <c r="Z63" s="93"/>
    </row>
    <row r="64" ht="12.75" customHeight="1">
      <c r="A64" s="122">
        <f>A63+Iinc</f>
        <v>0.05525</v>
      </c>
      <c r="B64" s="122">
        <f>E64/L</f>
        <v>0.5416666667</v>
      </c>
      <c r="C64" s="114">
        <f t="shared" si="2"/>
        <v>17950.55212</v>
      </c>
      <c r="D64" s="114">
        <f>K^2*SQRT(E*I/(A*rho*A64^4))</f>
        <v>1879.777423</v>
      </c>
      <c r="E64" s="123">
        <f>(E63+Iinc)</f>
        <v>0.05525</v>
      </c>
      <c r="F64" s="93"/>
      <c r="G64" s="93"/>
      <c r="H64" s="93"/>
      <c r="I64" s="93"/>
      <c r="J64" s="93"/>
      <c r="K64" s="93"/>
      <c r="L64" s="93"/>
      <c r="M64" s="93"/>
      <c r="N64" s="93"/>
      <c r="O64" s="93"/>
      <c r="P64" s="93"/>
      <c r="Q64" s="93"/>
      <c r="R64" s="93"/>
      <c r="S64" s="93"/>
      <c r="T64" s="93"/>
      <c r="U64" s="93"/>
      <c r="V64" s="93"/>
      <c r="W64" s="93"/>
      <c r="X64" s="93"/>
      <c r="Y64" s="93"/>
      <c r="Z64" s="93"/>
    </row>
    <row r="65" ht="12.75" customHeight="1">
      <c r="A65" s="122">
        <f>A64+Iinc</f>
        <v>0.0595</v>
      </c>
      <c r="B65" s="122">
        <f>E65/L</f>
        <v>0.5833333333</v>
      </c>
      <c r="C65" s="114">
        <f t="shared" si="2"/>
        <v>15477.77198</v>
      </c>
      <c r="D65" s="114">
        <f>K^2*SQRT(E*I/(A*rho*A65^4))</f>
        <v>1620.828492</v>
      </c>
      <c r="E65" s="123">
        <f>(E64+Iinc)</f>
        <v>0.0595</v>
      </c>
      <c r="F65" s="93"/>
      <c r="G65" s="93"/>
      <c r="H65" s="93"/>
      <c r="I65" s="93"/>
      <c r="J65" s="93"/>
      <c r="K65" s="93"/>
      <c r="L65" s="93"/>
      <c r="M65" s="93"/>
      <c r="N65" s="93"/>
      <c r="O65" s="93"/>
      <c r="P65" s="93"/>
      <c r="Q65" s="93"/>
      <c r="R65" s="93"/>
      <c r="S65" s="93"/>
      <c r="T65" s="93"/>
      <c r="U65" s="93"/>
      <c r="V65" s="93"/>
      <c r="W65" s="93"/>
      <c r="X65" s="93"/>
      <c r="Y65" s="93"/>
      <c r="Z65" s="93"/>
    </row>
    <row r="66" ht="12.75" customHeight="1">
      <c r="A66" s="122">
        <f>A65+Iinc</f>
        <v>0.06375</v>
      </c>
      <c r="B66" s="122">
        <f>E66/L</f>
        <v>0.625</v>
      </c>
      <c r="C66" s="114">
        <f t="shared" si="2"/>
        <v>13482.85915</v>
      </c>
      <c r="D66" s="114">
        <f>K^2*SQRT(E*I/(A*rho*A66^4))</f>
        <v>1411.921708</v>
      </c>
      <c r="E66" s="123">
        <f>(E65+Iinc)</f>
        <v>0.06375</v>
      </c>
      <c r="F66" s="93"/>
      <c r="G66" s="93"/>
      <c r="H66" s="93"/>
      <c r="I66" s="93"/>
      <c r="J66" s="93"/>
      <c r="K66" s="93"/>
      <c r="L66" s="93"/>
      <c r="M66" s="93"/>
      <c r="N66" s="93"/>
      <c r="O66" s="93"/>
      <c r="P66" s="93"/>
      <c r="Q66" s="93"/>
      <c r="R66" s="93"/>
      <c r="S66" s="93"/>
      <c r="T66" s="93"/>
      <c r="U66" s="93"/>
      <c r="V66" s="93"/>
      <c r="W66" s="93"/>
      <c r="X66" s="93"/>
      <c r="Y66" s="93"/>
      <c r="Z66" s="93"/>
    </row>
    <row r="67" ht="12.75" customHeight="1">
      <c r="A67" s="122">
        <f>A66+Iinc</f>
        <v>0.068</v>
      </c>
      <c r="B67" s="122">
        <f>E67/L</f>
        <v>0.6666666667</v>
      </c>
      <c r="C67" s="114">
        <f t="shared" si="2"/>
        <v>11850.16917</v>
      </c>
      <c r="D67" s="114">
        <f>K^2*SQRT(E*I/(A*rho*A67^4))</f>
        <v>1240.946814</v>
      </c>
      <c r="E67" s="123">
        <f>(E66+Iinc)</f>
        <v>0.068</v>
      </c>
      <c r="F67" s="93"/>
      <c r="G67" s="93"/>
      <c r="H67" s="93"/>
      <c r="I67" s="93"/>
      <c r="J67" s="93"/>
      <c r="K67" s="93"/>
      <c r="L67" s="93"/>
      <c r="M67" s="93"/>
      <c r="N67" s="93"/>
      <c r="O67" s="93"/>
      <c r="P67" s="93"/>
      <c r="Q67" s="93"/>
      <c r="R67" s="93"/>
      <c r="S67" s="93"/>
      <c r="T67" s="93"/>
      <c r="U67" s="93"/>
      <c r="V67" s="93"/>
      <c r="W67" s="93"/>
      <c r="X67" s="93"/>
      <c r="Y67" s="93"/>
      <c r="Z67" s="93"/>
    </row>
    <row r="68" ht="12.75" customHeight="1">
      <c r="A68" s="122">
        <f>A67+Iinc</f>
        <v>0.07225</v>
      </c>
      <c r="B68" s="122">
        <f>E68/L</f>
        <v>0.7083333333</v>
      </c>
      <c r="C68" s="114">
        <f t="shared" si="2"/>
        <v>10497.03567</v>
      </c>
      <c r="D68" s="114">
        <f>K^2*SQRT(E*I/(A*rho*A68^4))</f>
        <v>1099.247005</v>
      </c>
      <c r="E68" s="123">
        <f>(E67+Iinc)</f>
        <v>0.07225</v>
      </c>
      <c r="F68" s="93"/>
      <c r="G68" s="93"/>
      <c r="H68" s="93"/>
      <c r="I68" s="93"/>
      <c r="J68" s="93"/>
      <c r="K68" s="93"/>
      <c r="L68" s="93"/>
      <c r="M68" s="93"/>
      <c r="N68" s="93"/>
      <c r="O68" s="93"/>
      <c r="P68" s="93"/>
      <c r="Q68" s="93"/>
      <c r="R68" s="93"/>
      <c r="S68" s="93"/>
      <c r="T68" s="93"/>
      <c r="U68" s="93"/>
      <c r="V68" s="93"/>
      <c r="W68" s="93"/>
      <c r="X68" s="93"/>
      <c r="Y68" s="93"/>
      <c r="Z68" s="93"/>
    </row>
    <row r="69" ht="12.75" customHeight="1">
      <c r="A69" s="122">
        <f>A68+Iinc</f>
        <v>0.0765</v>
      </c>
      <c r="B69" s="122">
        <f>E69/L</f>
        <v>0.75</v>
      </c>
      <c r="C69" s="114">
        <f t="shared" si="2"/>
        <v>9363.096632</v>
      </c>
      <c r="D69" s="114">
        <f>K^2*SQRT(E*I/(A*rho*A69^4))</f>
        <v>980.5011864</v>
      </c>
      <c r="E69" s="123">
        <f>(E68+Iinc)</f>
        <v>0.0765</v>
      </c>
      <c r="F69" s="93"/>
      <c r="G69" s="93"/>
      <c r="H69" s="93"/>
      <c r="I69" s="93"/>
      <c r="J69" s="93"/>
      <c r="K69" s="93"/>
      <c r="L69" s="93"/>
      <c r="M69" s="93"/>
      <c r="N69" s="93"/>
      <c r="O69" s="93"/>
      <c r="P69" s="93"/>
      <c r="Q69" s="93"/>
      <c r="R69" s="93"/>
      <c r="S69" s="93"/>
      <c r="T69" s="93"/>
      <c r="U69" s="93"/>
      <c r="V69" s="93"/>
      <c r="W69" s="93"/>
      <c r="X69" s="93"/>
      <c r="Y69" s="93"/>
      <c r="Z69" s="93"/>
    </row>
    <row r="70" ht="12.75" customHeight="1">
      <c r="A70" s="122">
        <f>A69+Iinc</f>
        <v>0.08075</v>
      </c>
      <c r="B70" s="122">
        <f>E70/L</f>
        <v>0.7916666667</v>
      </c>
      <c r="C70" s="114">
        <f t="shared" si="2"/>
        <v>8403.444068</v>
      </c>
      <c r="D70" s="114">
        <f>K^2*SQRT(E*I/(A*rho*A70^4))</f>
        <v>880.006605</v>
      </c>
      <c r="E70" s="123">
        <f>(E69+Iinc)</f>
        <v>0.08075</v>
      </c>
      <c r="F70" s="93"/>
      <c r="G70" s="93"/>
      <c r="H70" s="93"/>
      <c r="I70" s="93"/>
      <c r="J70" s="93"/>
      <c r="K70" s="93"/>
      <c r="L70" s="93"/>
      <c r="M70" s="93"/>
      <c r="N70" s="93"/>
      <c r="O70" s="93"/>
      <c r="P70" s="93"/>
      <c r="Q70" s="93"/>
      <c r="R70" s="93"/>
      <c r="S70" s="93"/>
      <c r="T70" s="93"/>
      <c r="U70" s="93"/>
      <c r="V70" s="93"/>
      <c r="W70" s="93"/>
      <c r="X70" s="93"/>
      <c r="Y70" s="93"/>
      <c r="Z70" s="93"/>
    </row>
    <row r="71" ht="12.75" customHeight="1">
      <c r="A71" s="122">
        <f>A70+Iinc</f>
        <v>0.085</v>
      </c>
      <c r="B71" s="122">
        <f>E71/L</f>
        <v>0.8333333333</v>
      </c>
      <c r="C71" s="114">
        <f t="shared" si="2"/>
        <v>7584.108272</v>
      </c>
      <c r="D71" s="114">
        <f>K^2*SQRT(E*I/(A*rho*A71^4))</f>
        <v>794.205961</v>
      </c>
      <c r="E71" s="123">
        <f>(E70+Iinc)</f>
        <v>0.085</v>
      </c>
      <c r="F71" s="93"/>
      <c r="G71" s="93"/>
      <c r="H71" s="93"/>
      <c r="I71" s="93"/>
      <c r="J71" s="93"/>
      <c r="K71" s="93"/>
      <c r="L71" s="93"/>
      <c r="M71" s="93"/>
      <c r="N71" s="93"/>
      <c r="O71" s="93"/>
      <c r="P71" s="93"/>
      <c r="Q71" s="93"/>
      <c r="R71" s="93"/>
      <c r="S71" s="93"/>
      <c r="T71" s="93"/>
      <c r="U71" s="93"/>
      <c r="V71" s="93"/>
      <c r="W71" s="93"/>
      <c r="X71" s="93"/>
      <c r="Y71" s="93"/>
      <c r="Z71" s="93"/>
    </row>
    <row r="72" ht="12.75" customHeight="1">
      <c r="A72" s="122">
        <f>A71+Iinc</f>
        <v>0.08925</v>
      </c>
      <c r="B72" s="122">
        <f>E72/L</f>
        <v>0.875</v>
      </c>
      <c r="C72" s="114">
        <f t="shared" si="2"/>
        <v>6879.00977</v>
      </c>
      <c r="D72" s="114">
        <f>K^2*SQRT(E*I/(A*rho*A72^4))</f>
        <v>720.3682186</v>
      </c>
      <c r="E72" s="123">
        <f>(E71+Iinc)</f>
        <v>0.08925</v>
      </c>
      <c r="F72" s="93"/>
      <c r="G72" s="93"/>
      <c r="H72" s="93"/>
      <c r="I72" s="93"/>
      <c r="J72" s="93"/>
      <c r="K72" s="93"/>
      <c r="L72" s="93"/>
      <c r="M72" s="93"/>
      <c r="N72" s="93"/>
      <c r="O72" s="93"/>
      <c r="P72" s="93"/>
      <c r="Q72" s="93"/>
      <c r="R72" s="93"/>
      <c r="S72" s="93"/>
      <c r="T72" s="93"/>
      <c r="U72" s="93"/>
      <c r="V72" s="93"/>
      <c r="W72" s="93"/>
      <c r="X72" s="93"/>
      <c r="Y72" s="93"/>
      <c r="Z72" s="93"/>
    </row>
    <row r="73" ht="12.75" customHeight="1">
      <c r="A73" s="122">
        <f>A72+Iinc</f>
        <v>0.0935</v>
      </c>
      <c r="B73" s="122">
        <f>E73/L</f>
        <v>0.9166666667</v>
      </c>
      <c r="C73" s="114">
        <f t="shared" si="2"/>
        <v>6267.858076</v>
      </c>
      <c r="D73" s="114">
        <f>K^2*SQRT(E*I/(A*rho*A73^4))</f>
        <v>656.3685628</v>
      </c>
      <c r="E73" s="123">
        <f>(E72+Iinc)</f>
        <v>0.0935</v>
      </c>
      <c r="F73" s="93"/>
      <c r="G73" s="93"/>
      <c r="H73" s="93"/>
      <c r="I73" s="93"/>
      <c r="J73" s="93"/>
      <c r="K73" s="93"/>
      <c r="L73" s="93"/>
      <c r="M73" s="93"/>
      <c r="N73" s="93"/>
      <c r="O73" s="93"/>
      <c r="P73" s="93"/>
      <c r="Q73" s="93"/>
      <c r="R73" s="93"/>
      <c r="S73" s="93"/>
      <c r="T73" s="93"/>
      <c r="U73" s="93"/>
      <c r="V73" s="93"/>
      <c r="W73" s="93"/>
      <c r="X73" s="93"/>
      <c r="Y73" s="93"/>
      <c r="Z73" s="93"/>
    </row>
    <row r="74" ht="12.75" customHeight="1">
      <c r="A74" s="122">
        <f>A73+Iinc</f>
        <v>0.09775</v>
      </c>
      <c r="B74" s="122">
        <f>E74/L</f>
        <v>0.9583333333</v>
      </c>
      <c r="C74" s="114">
        <f t="shared" si="2"/>
        <v>5734.675442</v>
      </c>
      <c r="D74" s="114">
        <f>K^2*SQRT(E*I/(A*rho*A74^4))</f>
        <v>600.5338079</v>
      </c>
      <c r="E74" s="123">
        <f>(E73+Iinc)</f>
        <v>0.09775</v>
      </c>
      <c r="F74" s="93"/>
      <c r="G74" s="93"/>
      <c r="H74" s="93"/>
      <c r="I74" s="93"/>
      <c r="J74" s="93"/>
      <c r="K74" s="93"/>
      <c r="L74" s="93"/>
      <c r="M74" s="93"/>
      <c r="N74" s="93"/>
      <c r="O74" s="93"/>
      <c r="P74" s="93"/>
      <c r="Q74" s="93"/>
      <c r="R74" s="93"/>
      <c r="S74" s="93"/>
      <c r="T74" s="93"/>
      <c r="U74" s="93"/>
      <c r="V74" s="93"/>
      <c r="W74" s="93"/>
      <c r="X74" s="93"/>
      <c r="Y74" s="93"/>
      <c r="Z74" s="93"/>
    </row>
    <row r="75" ht="12.75" customHeight="1">
      <c r="A75" s="122">
        <f>A74+Iinc</f>
        <v>0.102</v>
      </c>
      <c r="B75" s="122">
        <f>E75/L</f>
        <v>1</v>
      </c>
      <c r="C75" s="114">
        <f t="shared" si="2"/>
        <v>5266.741855</v>
      </c>
      <c r="D75" s="114">
        <f>K^2*SQRT(E*I/(A*rho*A75^4))</f>
        <v>551.5319174</v>
      </c>
      <c r="E75" s="123">
        <f>(E74+Iinc)</f>
        <v>0.102</v>
      </c>
      <c r="F75" s="93"/>
      <c r="G75" s="93"/>
      <c r="H75" s="93"/>
      <c r="I75" s="93"/>
      <c r="J75" s="93"/>
      <c r="K75" s="93"/>
      <c r="L75" s="93"/>
      <c r="M75" s="93"/>
      <c r="N75" s="93"/>
      <c r="O75" s="93"/>
      <c r="P75" s="93"/>
      <c r="Q75" s="93"/>
      <c r="R75" s="93"/>
      <c r="S75" s="93"/>
      <c r="T75" s="93"/>
      <c r="U75" s="93"/>
      <c r="V75" s="93"/>
      <c r="W75" s="93"/>
      <c r="X75" s="93"/>
      <c r="Y75" s="93"/>
      <c r="Z75" s="93"/>
    </row>
    <row r="76" ht="12.75" customHeight="1">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row>
    <row r="77" ht="12.75" customHeight="1">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row>
    <row r="78" ht="12.75" customHeight="1">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row>
    <row r="79" ht="12.75" customHeight="1">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row>
    <row r="80" ht="12.75" customHeight="1">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row>
    <row r="81" ht="12.75" customHeight="1">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row>
    <row r="82" ht="12.75" customHeight="1">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row>
    <row r="83" ht="12.75" customHeight="1">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row>
    <row r="84" ht="12.75" customHeight="1">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row>
    <row r="85" ht="12.75" customHeight="1">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row>
    <row r="86" ht="12.75" customHeight="1">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row>
    <row r="87" ht="12.75" customHeight="1">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row>
    <row r="88" ht="12.75" customHeight="1">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row>
    <row r="89" ht="12.75" customHeight="1">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row>
    <row r="90" ht="12.75" customHeight="1">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row>
    <row r="91" ht="12.75" customHeight="1">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row>
    <row r="92" ht="12.75" customHeight="1">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row>
    <row r="93" ht="12.75" customHeight="1">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row>
    <row r="94" ht="12.75" customHeight="1">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row>
    <row r="95" ht="12.75" customHeight="1">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row>
    <row r="96" ht="12.75" customHeight="1">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row>
    <row r="97" ht="12.75" customHeight="1">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row>
    <row r="98" ht="12.75" customHeight="1">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row>
    <row r="99" ht="12.75" customHeight="1">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row>
    <row r="100" ht="12.75" customHeight="1">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row>
    <row r="101" ht="12.75" customHeight="1">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row>
    <row r="102" ht="12.75" customHeight="1">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row>
    <row r="103" ht="12.75" customHeight="1">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row>
    <row r="104" ht="12.75" customHeight="1">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row>
    <row r="105" ht="12.75" customHeight="1">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row>
    <row r="106" ht="12.75" customHeight="1">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row>
    <row r="107" ht="12.75" customHeight="1">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row>
    <row r="108" ht="12.75" customHeight="1">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row>
    <row r="109" ht="12.75" customHeight="1">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row>
    <row r="110" ht="12.75" customHeight="1">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row>
    <row r="111" ht="12.75" customHeight="1">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row>
    <row r="112" ht="12.75" customHeight="1">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row>
    <row r="113" ht="12.75" customHeight="1">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row>
    <row r="114" ht="12.75" customHeight="1">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row>
    <row r="115" ht="12.75" customHeight="1">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row>
    <row r="116" ht="12.75" customHeight="1">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row>
    <row r="117" ht="12.75" customHeight="1">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row>
    <row r="118" ht="12.75" customHeight="1">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row>
    <row r="119" ht="12.75" customHeight="1">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row>
    <row r="120" ht="12.75" customHeight="1">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row>
    <row r="121" ht="12.75" customHeight="1">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row>
    <row r="122" ht="12.75" customHeight="1">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row>
    <row r="123" ht="12.75" customHeight="1">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row>
    <row r="124" ht="12.75" customHeight="1">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row>
    <row r="125" ht="12.75" customHeight="1">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row>
    <row r="126" ht="12.75" customHeight="1">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row>
    <row r="127" ht="12.75" customHeight="1">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row>
    <row r="128" ht="12.75" customHeight="1">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row>
    <row r="129" ht="12.75" customHeight="1">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row>
    <row r="130" ht="12.75" customHeight="1">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row>
    <row r="131" ht="12.75" customHeight="1">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row>
    <row r="132" ht="12.75" customHeight="1">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row>
    <row r="133" ht="12.75" customHeight="1">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row>
    <row r="134" ht="12.75" customHeight="1">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row>
    <row r="135" ht="12.75" customHeight="1">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row>
    <row r="136" ht="12.75" customHeight="1">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row>
    <row r="137" ht="12.75" customHeight="1">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row>
    <row r="138" ht="12.75" customHeight="1">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row>
    <row r="139" ht="12.75" customHeight="1">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row>
    <row r="140" ht="12.75" customHeight="1">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row>
    <row r="141" ht="12.75" customHeight="1">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row>
    <row r="142" ht="12.75" customHeight="1">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row r="143" ht="12.75" customHeight="1">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row>
    <row r="144" ht="12.75" customHeight="1">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row>
    <row r="145" ht="12.75" customHeight="1">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row>
    <row r="146" ht="12.75" customHeight="1">
      <c r="A146" s="93"/>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row>
    <row r="147" ht="12.75" customHeight="1">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row>
    <row r="148" ht="12.75" customHeight="1">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row>
    <row r="149" ht="12.75" customHeight="1">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ht="12.75" customHeight="1">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row>
    <row r="151" ht="12.75" customHeight="1">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row>
    <row r="152" ht="12.75" customHeight="1">
      <c r="A152" s="93"/>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row>
    <row r="153" ht="12.75" customHeight="1">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row>
    <row r="154" ht="12.75" customHeight="1">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row>
    <row r="155" ht="12.75" customHeight="1">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row>
    <row r="156" ht="12.75" customHeight="1">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row>
    <row r="157" ht="12.75" customHeight="1">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row>
    <row r="158" ht="12.75" customHeight="1">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row>
    <row r="159" ht="12.75" customHeight="1">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row>
    <row r="160" ht="12.75" customHeight="1">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row>
    <row r="161" ht="12.75" customHeight="1">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row>
    <row r="162" ht="12.75" customHeight="1">
      <c r="A162" s="93"/>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row>
    <row r="163" ht="12.75" customHeight="1">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row>
    <row r="164" ht="12.75" customHeight="1">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row>
    <row r="165" ht="12.75" customHeight="1">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row>
    <row r="166" ht="12.75" customHeight="1">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row>
    <row r="167" ht="12.75" customHeight="1">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row>
    <row r="168" ht="12.75" customHeight="1">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row>
    <row r="169" ht="12.75" customHeight="1">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row>
    <row r="170" ht="12.75" customHeight="1">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row>
    <row r="171" ht="12.75" customHeight="1">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row>
    <row r="172" ht="12.75" customHeight="1">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row>
    <row r="173" ht="12.75" customHeight="1">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row>
    <row r="174" ht="12.75" customHeight="1">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row>
    <row r="175" ht="12.75" customHeight="1">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row>
    <row r="176" ht="12.75" customHeight="1">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row>
    <row r="177" ht="12.75" customHeight="1">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row>
    <row r="178" ht="12.7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row>
    <row r="179" ht="12.7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row>
    <row r="180" ht="12.7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row>
    <row r="181" ht="12.7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row>
    <row r="182" ht="12.7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row>
    <row r="183" ht="12.7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row>
    <row r="184" ht="12.75" customHeight="1">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row>
    <row r="185" ht="12.75" customHeight="1">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row>
    <row r="186" ht="12.75" customHeight="1">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row>
    <row r="187" ht="12.75" customHeight="1">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row>
    <row r="188" ht="12.75" customHeight="1">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row>
    <row r="189" ht="12.75" customHeight="1">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row>
    <row r="190" ht="12.7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ht="12.7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row>
    <row r="192" ht="12.7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row>
    <row r="193" ht="12.7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row>
    <row r="194" ht="12.7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row>
    <row r="195" ht="12.75" customHeight="1">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row>
    <row r="196" ht="12.75" customHeight="1">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row>
    <row r="197" ht="12.75" customHeight="1">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row>
    <row r="198" ht="12.75" customHeight="1">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row>
    <row r="199" ht="12.75" customHeight="1">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row>
    <row r="200" ht="12.75" customHeight="1">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row>
    <row r="201" ht="12.75" customHeight="1">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row>
    <row r="202" ht="12.75" customHeight="1">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row>
    <row r="203" ht="12.75" customHeight="1">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row>
    <row r="204" ht="12.75" customHeight="1">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row>
    <row r="205" ht="12.75" customHeight="1">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row>
    <row r="206" ht="12.75" customHeight="1">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row>
    <row r="207" ht="12.75" customHeight="1">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row>
    <row r="208" ht="12.75" customHeight="1">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row>
    <row r="209" ht="12.75" customHeight="1">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row>
    <row r="210" ht="12.75" customHeight="1">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row>
    <row r="211" ht="12.75" customHeight="1">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row>
    <row r="212" ht="12.75" customHeight="1">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row>
    <row r="213" ht="12.75" customHeight="1">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row>
    <row r="214" ht="12.75" customHeight="1">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row>
    <row r="215" ht="12.75" customHeight="1">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row>
    <row r="216" ht="12.75" customHeight="1">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row>
    <row r="217" ht="12.75" customHeight="1">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row>
    <row r="218" ht="12.75" customHeight="1">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row>
    <row r="219" ht="12.75" customHeight="1">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row>
    <row r="220" ht="12.75" customHeight="1">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row>
    <row r="221" ht="12.75" customHeight="1">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row>
    <row r="222" ht="12.75" customHeight="1">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row>
    <row r="223" ht="12.75" customHeight="1">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row>
    <row r="224" ht="12.75" customHeight="1">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row>
    <row r="225" ht="12.75" customHeight="1">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row>
    <row r="226" ht="12.75" customHeight="1">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ht="12.75" customHeight="1">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row>
    <row r="228" ht="12.75" customHeight="1">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row>
    <row r="229" ht="12.75" customHeight="1">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row>
    <row r="230" ht="12.75" customHeight="1">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row>
    <row r="231" ht="12.75" customHeight="1">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row>
    <row r="232" ht="12.75" customHeight="1">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row>
    <row r="233" ht="12.75" customHeight="1">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row>
    <row r="234" ht="12.75" customHeight="1">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row>
    <row r="235" ht="12.75" customHeight="1">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row>
    <row r="236" ht="12.75" customHeight="1">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row>
    <row r="237" ht="12.75" customHeight="1">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row>
    <row r="238" ht="12.75" customHeight="1">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row>
    <row r="239" ht="12.75" customHeight="1">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row>
    <row r="240" ht="12.75" customHeight="1">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row>
    <row r="241" ht="12.75" customHeight="1">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row>
    <row r="242" ht="12.75" customHeight="1">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row>
    <row r="243" ht="12.75" customHeight="1">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row>
    <row r="244" ht="12.75" customHeight="1">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row>
    <row r="245" ht="12.75" customHeight="1">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row>
    <row r="246" ht="12.75" customHeight="1">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row>
    <row r="247" ht="12.75" customHeight="1">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row>
    <row r="248" ht="12.75" customHeight="1">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row>
    <row r="249" ht="12.75" customHeight="1">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row>
    <row r="250" ht="12.75" customHeight="1">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row>
    <row r="251" ht="12.75" customHeight="1">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row>
    <row r="252" ht="12.75" customHeight="1">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row>
    <row r="253" ht="12.75" customHeight="1">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row>
    <row r="254" ht="12.75" customHeight="1">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row>
    <row r="255" ht="12.75" customHeight="1">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row>
    <row r="256" ht="12.75" customHeight="1">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row>
    <row r="257" ht="12.75" customHeight="1">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row>
    <row r="258" ht="12.75" customHeight="1">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row>
    <row r="259" ht="12.75" customHeight="1">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row>
    <row r="260" ht="12.75" customHeight="1">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row>
    <row r="261" ht="12.75" customHeight="1">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row>
    <row r="262" ht="12.75" customHeight="1">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ht="12.75" customHeight="1">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row>
    <row r="264" ht="12.75" customHeight="1">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row>
    <row r="265" ht="12.75" customHeight="1">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row>
    <row r="266" ht="12.75" customHeight="1">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row>
    <row r="267" ht="12.75" customHeight="1">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row>
    <row r="268" ht="12.75" customHeight="1">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row>
    <row r="269" ht="12.75" customHeight="1">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row>
    <row r="270" ht="12.75" customHeight="1">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row>
    <row r="271" ht="12.75" customHeight="1">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row>
    <row r="272" ht="12.75" customHeight="1">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row>
    <row r="273" ht="12.75" customHeight="1">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row>
    <row r="274" ht="12.75" customHeight="1">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row>
    <row r="275" ht="12.75" customHeight="1">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row>
    <row r="276" ht="12.75" customHeight="1">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row>
    <row r="277" ht="12.75" customHeight="1">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row>
    <row r="278" ht="12.75" customHeight="1">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row>
    <row r="279" ht="12.75" customHeight="1">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row>
    <row r="280" ht="12.75" customHeight="1">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row>
    <row r="281" ht="12.75" customHeight="1">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row>
    <row r="282" ht="12.75" customHeight="1">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row>
    <row r="283" ht="12.75" customHeight="1">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row>
    <row r="284" ht="12.75" customHeight="1">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row>
    <row r="285" ht="12.75" customHeight="1">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row>
    <row r="286" ht="12.75" customHeight="1">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row>
    <row r="287" ht="12.75" customHeight="1">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row>
    <row r="288" ht="12.75" customHeight="1">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row>
    <row r="289" ht="12.75" customHeight="1">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row>
    <row r="290" ht="12.75" customHeight="1">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row>
    <row r="291" ht="12.75" customHeight="1">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row>
    <row r="292" ht="12.75" customHeight="1">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row>
    <row r="293" ht="12.75" customHeight="1">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row>
    <row r="294" ht="12.75" customHeight="1">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row>
    <row r="295" ht="12.75" customHeight="1">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row>
    <row r="296" ht="12.75" customHeight="1">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row>
    <row r="297" ht="12.75" customHeight="1">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row>
    <row r="298" ht="12.75" customHeight="1">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row>
    <row r="299" ht="12.75" customHeight="1">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row>
    <row r="300" ht="12.75" customHeight="1">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row>
    <row r="301" ht="12.75" customHeight="1">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row>
    <row r="302" ht="12.75" customHeight="1">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row>
    <row r="303" ht="12.75" customHeight="1">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row>
    <row r="304" ht="12.75" customHeight="1">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row>
    <row r="305" ht="12.75" customHeight="1">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row>
    <row r="306" ht="12.75" customHeight="1">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row>
    <row r="307" ht="12.75" customHeight="1">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row>
    <row r="308" ht="12.75" customHeight="1">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row>
    <row r="309" ht="12.75" customHeight="1">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row>
    <row r="310" ht="12.75" customHeight="1">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row>
    <row r="311" ht="12.75" customHeight="1">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row>
    <row r="312" ht="12.75" customHeight="1">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row>
    <row r="313" ht="12.75" customHeight="1">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row>
    <row r="314" ht="12.75" customHeight="1">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row>
    <row r="315" ht="12.75" customHeight="1">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row>
    <row r="316" ht="12.75" customHeight="1">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row>
    <row r="317" ht="12.75" customHeight="1">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row>
    <row r="318" ht="12.75" customHeight="1">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row>
    <row r="319" ht="12.75" customHeight="1">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row>
    <row r="320" ht="12.75" customHeight="1">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row>
    <row r="321" ht="12.75" customHeight="1">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row>
    <row r="322" ht="12.75" customHeight="1">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row>
    <row r="323" ht="12.75" customHeight="1">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row>
    <row r="324" ht="12.75" customHeight="1">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row>
    <row r="325" ht="12.75" customHeight="1">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row>
    <row r="326" ht="12.75" customHeight="1">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row>
    <row r="327" ht="12.75" customHeight="1">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row>
    <row r="328" ht="12.75" customHeight="1">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row>
    <row r="329" ht="12.75" customHeight="1">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row>
    <row r="330" ht="12.75" customHeight="1">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row>
    <row r="331" ht="12.75" customHeight="1">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row>
    <row r="332" ht="12.75" customHeight="1">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row>
    <row r="333" ht="12.75" customHeight="1">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row>
    <row r="334" ht="12.75" customHeight="1">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row>
    <row r="335" ht="12.75" customHeight="1">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row>
    <row r="336" ht="12.75" customHeight="1">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row>
    <row r="337" ht="12.75" customHeight="1">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row>
    <row r="338" ht="12.75" customHeight="1">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row>
    <row r="339" ht="12.75" customHeight="1">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row>
    <row r="340" ht="12.75" customHeight="1">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row>
    <row r="341" ht="12.75" customHeight="1">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row>
    <row r="342" ht="12.75" customHeight="1">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row>
    <row r="343" ht="12.75" customHeight="1">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row>
    <row r="344" ht="12.75" customHeight="1">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row>
    <row r="345" ht="12.75" customHeight="1">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row>
    <row r="346" ht="12.75" customHeight="1">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row>
    <row r="347" ht="12.75" customHeight="1">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row>
    <row r="348" ht="12.75" customHeight="1">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row>
    <row r="349" ht="12.75" customHeight="1">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row>
    <row r="350" ht="12.75" customHeight="1">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row>
    <row r="351" ht="12.75" customHeight="1">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row>
    <row r="352" ht="12.75" customHeight="1">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row>
    <row r="353" ht="12.75" customHeight="1">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row>
    <row r="354" ht="12.75" customHeight="1">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row>
    <row r="355" ht="12.75" customHeight="1">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row>
    <row r="356" ht="12.75" customHeight="1">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row>
    <row r="357" ht="12.75" customHeight="1">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row>
    <row r="358" ht="12.75" customHeight="1">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row>
    <row r="359" ht="12.75" customHeight="1">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row>
    <row r="360" ht="12.75" customHeight="1">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row>
    <row r="361" ht="12.75" customHeight="1">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row>
    <row r="362" ht="12.75" customHeight="1">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row>
    <row r="363" ht="12.75" customHeight="1">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row>
    <row r="364" ht="12.75" customHeight="1">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row>
    <row r="365" ht="12.75" customHeight="1">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row>
    <row r="366" ht="12.75" customHeight="1">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row>
    <row r="367" ht="12.75" customHeight="1">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row>
    <row r="368" ht="12.75" customHeight="1">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row>
    <row r="369" ht="12.75" customHeight="1">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row>
    <row r="370" ht="12.75" customHeight="1">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row>
    <row r="371" ht="12.75" customHeight="1">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row>
    <row r="372" ht="12.75" customHeight="1">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row>
    <row r="373" ht="12.75" customHeight="1">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row>
    <row r="374" ht="12.75" customHeight="1">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row>
    <row r="375" ht="12.75" customHeight="1">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row>
    <row r="376" ht="12.75" customHeight="1">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row>
    <row r="377" ht="12.75" customHeight="1">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row>
    <row r="378" ht="12.75" customHeight="1">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row>
    <row r="379" ht="12.75" customHeight="1">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row>
    <row r="380" ht="12.75" customHeight="1">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row>
    <row r="381" ht="12.75" customHeight="1">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row>
    <row r="382" ht="12.75" customHeight="1">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row>
    <row r="383" ht="12.75" customHeight="1">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row>
    <row r="384" ht="12.75" customHeight="1">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row>
    <row r="385" ht="12.75" customHeight="1">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row>
    <row r="386" ht="12.75" customHeight="1">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row>
    <row r="387" ht="12.75" customHeight="1">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row>
    <row r="388" ht="12.75" customHeight="1">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row>
    <row r="389" ht="12.75" customHeight="1">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row>
    <row r="390" ht="12.75" customHeight="1">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row>
    <row r="391" ht="12.75" customHeight="1">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row>
    <row r="392" ht="12.75" customHeight="1">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row>
    <row r="393" ht="12.75" customHeight="1">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row>
    <row r="394" ht="12.75" customHeight="1">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row>
    <row r="395" ht="12.75" customHeight="1">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row>
    <row r="396" ht="12.75" customHeight="1">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row>
    <row r="397" ht="12.75" customHeight="1">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row>
    <row r="398" ht="12.75" customHeight="1">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row>
    <row r="399" ht="12.75" customHeight="1">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row>
    <row r="400" ht="12.75" customHeight="1">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row>
    <row r="401" ht="12.75" customHeight="1">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row>
    <row r="402" ht="12.75" customHeight="1">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row>
    <row r="403" ht="12.75" customHeight="1">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row>
    <row r="404" ht="12.75" customHeight="1">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row>
    <row r="405" ht="12.75" customHeight="1">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row>
    <row r="406" ht="12.75" customHeight="1">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row>
    <row r="407" ht="12.75" customHeight="1">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row>
    <row r="408" ht="12.75" customHeight="1">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row>
    <row r="409" ht="12.75" customHeight="1">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row>
    <row r="410" ht="12.75" customHeight="1">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row>
    <row r="411" ht="12.75" customHeight="1">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row>
    <row r="412" ht="12.75" customHeight="1">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row>
    <row r="413" ht="12.75" customHeight="1">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row>
    <row r="414" ht="12.75" customHeight="1">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row>
    <row r="415" ht="12.75" customHeight="1">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row>
    <row r="416" ht="12.75" customHeight="1">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row>
    <row r="417" ht="12.75" customHeight="1">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row>
    <row r="418" ht="12.75" customHeight="1">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row>
    <row r="419" ht="12.75" customHeight="1">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row>
    <row r="420" ht="12.75" customHeight="1">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row>
    <row r="421" ht="12.75" customHeight="1">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row>
    <row r="422" ht="12.75" customHeight="1">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row>
    <row r="423" ht="12.75" customHeight="1">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row>
    <row r="424" ht="12.75" customHeight="1">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row>
    <row r="425" ht="12.75" customHeight="1">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row>
    <row r="426" ht="12.75" customHeight="1">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row>
    <row r="427" ht="12.75" customHeight="1">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row>
    <row r="428" ht="12.75" customHeight="1">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row>
    <row r="429" ht="12.75" customHeight="1">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row>
    <row r="430" ht="12.75" customHeight="1">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row>
    <row r="431" ht="12.75" customHeight="1">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row>
    <row r="432" ht="12.75" customHeight="1">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row>
    <row r="433" ht="12.75" customHeight="1">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row>
    <row r="434" ht="12.75" customHeight="1">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row>
    <row r="435" ht="12.75" customHeight="1">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row>
    <row r="436" ht="12.75" customHeight="1">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row>
    <row r="437" ht="12.75" customHeight="1">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row>
    <row r="438" ht="12.75" customHeight="1">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row>
    <row r="439" ht="12.75" customHeight="1">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row>
    <row r="440" ht="12.75" customHeight="1">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row>
    <row r="441" ht="12.75" customHeight="1">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row>
    <row r="442" ht="12.75" customHeight="1">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row>
    <row r="443" ht="12.75" customHeight="1">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row>
    <row r="444" ht="12.75" customHeight="1">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row>
    <row r="445" ht="12.75" customHeight="1">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row>
    <row r="446" ht="12.75" customHeight="1">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row>
    <row r="447" ht="12.75" customHeight="1">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row>
    <row r="448" ht="12.75" customHeight="1">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row>
    <row r="449" ht="12.75" customHeight="1">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row>
    <row r="450" ht="12.75" customHeight="1">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row>
    <row r="451" ht="12.75" customHeight="1">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row>
    <row r="452" ht="12.75" customHeight="1">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row>
    <row r="453" ht="12.75" customHeight="1">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row>
    <row r="454" ht="12.75" customHeight="1">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row>
    <row r="455" ht="12.75" customHeight="1">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row>
    <row r="456" ht="12.75" customHeight="1">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row>
    <row r="457" ht="12.75" customHeight="1">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row>
    <row r="458" ht="12.75" customHeight="1">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row>
    <row r="459" ht="12.75" customHeight="1">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row>
    <row r="460" ht="12.75" customHeight="1">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row>
    <row r="461" ht="12.75" customHeight="1">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row>
    <row r="462" ht="12.75" customHeight="1">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row>
    <row r="463" ht="12.75" customHeight="1">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row>
    <row r="464" ht="12.75" customHeight="1">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row>
    <row r="465" ht="12.75" customHeight="1">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row>
    <row r="466" ht="12.75" customHeight="1">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row>
    <row r="467" ht="12.75" customHeight="1">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row>
    <row r="468" ht="12.75" customHeight="1">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row>
    <row r="469" ht="12.75" customHeight="1">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row>
    <row r="470" ht="12.75" customHeight="1">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row>
    <row r="471" ht="12.75" customHeight="1">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row>
    <row r="472" ht="12.75" customHeight="1">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row>
    <row r="473" ht="12.75" customHeight="1">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row>
    <row r="474" ht="12.75" customHeight="1">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row>
    <row r="475" ht="12.75" customHeight="1">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row>
    <row r="476" ht="12.75" customHeight="1">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row>
    <row r="477" ht="12.75" customHeight="1">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row>
    <row r="478" ht="12.75" customHeight="1">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row>
    <row r="479" ht="12.75" customHeight="1">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row>
    <row r="480" ht="12.75" customHeight="1">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row>
    <row r="481" ht="12.75" customHeight="1">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row>
    <row r="482" ht="12.75" customHeight="1">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row>
    <row r="483" ht="12.75" customHeight="1">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row>
    <row r="484" ht="12.75" customHeight="1">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row>
    <row r="485" ht="12.75" customHeight="1">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row>
    <row r="486" ht="12.75" customHeight="1">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row>
    <row r="487" ht="12.75" customHeight="1">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row>
    <row r="488" ht="12.75" customHeight="1">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row>
    <row r="489" ht="12.75" customHeight="1">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row>
    <row r="490" ht="12.75" customHeight="1">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row>
    <row r="491" ht="12.75" customHeight="1">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row>
    <row r="492" ht="12.75" customHeight="1">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row>
    <row r="493" ht="12.75" customHeight="1">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row>
    <row r="494" ht="12.75" customHeight="1">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row>
    <row r="495" ht="12.75" customHeight="1">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row>
    <row r="496" ht="12.75" customHeight="1">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row>
    <row r="497" ht="12.75" customHeight="1">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row>
    <row r="498" ht="12.75" customHeight="1">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row>
    <row r="499" ht="12.75" customHeight="1">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row>
    <row r="500" ht="12.75" customHeight="1">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row>
    <row r="501" ht="12.75" customHeight="1">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row>
    <row r="502" ht="12.75" customHeight="1">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row>
    <row r="503" ht="12.75" customHeight="1">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ht="12.75" customHeight="1">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row>
    <row r="505" ht="12.75" customHeight="1">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row>
    <row r="506" ht="12.75" customHeight="1">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row>
    <row r="507" ht="12.75" customHeight="1">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row>
    <row r="508" ht="12.75" customHeight="1">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row>
    <row r="509" ht="12.75" customHeight="1">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row>
    <row r="510" ht="12.75" customHeight="1">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row>
    <row r="511" ht="12.75" customHeight="1">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row>
    <row r="512" ht="12.75" customHeight="1">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row>
    <row r="513" ht="12.75" customHeight="1">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row>
    <row r="514" ht="12.75" customHeight="1">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row>
    <row r="515" ht="12.75" customHeight="1">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row>
    <row r="516" ht="12.75" customHeight="1">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row>
    <row r="517" ht="12.75" customHeight="1">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row>
    <row r="518" ht="12.75" customHeight="1">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row>
    <row r="519" ht="12.75" customHeight="1">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row>
    <row r="520" ht="12.75" customHeight="1">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row>
    <row r="521" ht="12.75" customHeight="1">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row>
    <row r="522" ht="12.75" customHeight="1">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row>
    <row r="523" ht="12.75" customHeight="1">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row>
    <row r="524" ht="12.75" customHeight="1">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row>
    <row r="525" ht="12.75" customHeight="1">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row>
    <row r="526" ht="12.75" customHeight="1">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row>
    <row r="527" ht="12.75" customHeight="1">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row>
    <row r="528" ht="12.75" customHeight="1">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row>
    <row r="529" ht="12.75" customHeight="1">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row>
    <row r="530" ht="12.75" customHeight="1">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row>
    <row r="531" ht="12.75" customHeight="1">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row>
    <row r="532" ht="12.75" customHeight="1">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row>
    <row r="533" ht="12.75" customHeight="1">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row>
    <row r="534" ht="12.75" customHeight="1">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row>
    <row r="535" ht="12.75" customHeight="1">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row>
    <row r="536" ht="12.75" customHeight="1">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row>
    <row r="537" ht="12.75" customHeight="1">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row>
    <row r="538" ht="12.75" customHeight="1">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row>
    <row r="539" ht="12.75" customHeight="1">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ht="12.75" customHeight="1">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row>
    <row r="541" ht="12.75" customHeight="1">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row>
    <row r="542" ht="12.75" customHeight="1">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row>
    <row r="543" ht="12.75" customHeight="1">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row>
    <row r="544" ht="12.75" customHeight="1">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row>
    <row r="545" ht="12.75" customHeight="1">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row>
    <row r="546" ht="12.75" customHeight="1">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row>
    <row r="547" ht="12.75" customHeight="1">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row>
    <row r="548" ht="12.75" customHeight="1">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row>
    <row r="549" ht="12.75" customHeight="1">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row>
    <row r="550" ht="12.75" customHeight="1">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row>
    <row r="551" ht="12.75" customHeight="1">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row>
    <row r="552" ht="12.75" customHeight="1">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row>
    <row r="553" ht="12.75" customHeight="1">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row>
    <row r="554" ht="12.75" customHeight="1">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row>
    <row r="555" ht="12.75" customHeight="1">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row>
    <row r="556" ht="12.75" customHeight="1">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row>
    <row r="557" ht="12.75" customHeight="1">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row>
    <row r="558" ht="12.75" customHeight="1">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row>
    <row r="559" ht="12.75" customHeight="1">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row>
    <row r="560" ht="12.75" customHeight="1">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row>
    <row r="561" ht="12.75" customHeight="1">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row>
    <row r="562" ht="12.75" customHeight="1">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row>
    <row r="563" ht="12.75" customHeight="1">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row>
    <row r="564" ht="12.75" customHeight="1">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row>
    <row r="565" ht="12.75" customHeight="1">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row>
    <row r="566" ht="12.75" customHeight="1">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row>
    <row r="567" ht="12.75" customHeight="1">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row>
    <row r="568" ht="12.75" customHeight="1">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ht="12.75" customHeight="1">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row>
    <row r="570" ht="12.75" customHeight="1">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row>
    <row r="571" ht="12.75" customHeight="1">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row>
    <row r="572" ht="12.75" customHeight="1">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row>
    <row r="573" ht="12.75" customHeight="1">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row>
    <row r="574" ht="12.75" customHeight="1">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row>
    <row r="575" ht="12.75" customHeight="1">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row>
    <row r="576" ht="12.75" customHeight="1">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row>
    <row r="577" ht="12.75" customHeight="1">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row>
    <row r="578" ht="12.75" customHeight="1">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row>
    <row r="579" ht="12.75" customHeight="1">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row>
    <row r="580" ht="12.75" customHeight="1">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row>
    <row r="581" ht="12.75" customHeight="1">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row>
    <row r="582" ht="12.75" customHeight="1">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row>
    <row r="583" ht="12.75" customHeight="1">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ht="12.75" customHeight="1">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row>
    <row r="585" ht="12.75" customHeight="1">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row>
    <row r="586" ht="12.75" customHeight="1">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row>
    <row r="587" ht="12.75" customHeight="1">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row>
    <row r="588" ht="12.75" customHeight="1">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row>
    <row r="589" ht="12.75" customHeight="1">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row>
    <row r="590" ht="12.75" customHeight="1">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row>
    <row r="591" ht="12.75" customHeight="1">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row>
    <row r="592" ht="12.75" customHeight="1">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row>
    <row r="593" ht="12.75" customHeight="1">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row>
    <row r="594" ht="12.75" customHeight="1">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row>
    <row r="595" ht="12.75" customHeight="1">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row>
    <row r="596" ht="12.75" customHeight="1">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row>
    <row r="597" ht="12.75" customHeight="1">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row>
    <row r="598" ht="12.75" customHeight="1">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row>
    <row r="599" ht="12.75" customHeight="1">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row>
    <row r="600" ht="12.75" customHeight="1">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row>
    <row r="601" ht="12.75" customHeight="1">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row>
    <row r="602" ht="12.75" customHeight="1">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row>
    <row r="603" ht="12.75" customHeight="1">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row>
    <row r="604" ht="12.75" customHeight="1">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ht="12.75" customHeight="1">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row>
    <row r="606" ht="12.75" customHeight="1">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row>
    <row r="607" ht="12.75" customHeight="1">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row>
    <row r="608" ht="12.75" customHeight="1">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row>
    <row r="609" ht="12.75" customHeight="1">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row>
    <row r="610" ht="12.75" customHeight="1">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row>
    <row r="611" ht="12.75" customHeight="1">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row>
    <row r="612" ht="12.75" customHeight="1">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row>
    <row r="613" ht="12.75" customHeight="1">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row>
    <row r="614" ht="12.75" customHeight="1">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row>
    <row r="615" ht="12.75" customHeight="1">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row>
    <row r="616" ht="12.75" customHeight="1">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row>
    <row r="617" ht="12.75" customHeight="1">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row>
    <row r="618" ht="12.75" customHeight="1">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row>
    <row r="619" ht="12.75" customHeight="1">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row>
    <row r="620" ht="12.75" customHeight="1">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row>
    <row r="621" ht="12.75" customHeight="1">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row>
    <row r="622" ht="12.75" customHeight="1">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row>
    <row r="623" ht="12.75" customHeight="1">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row>
    <row r="624" ht="12.75" customHeight="1">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row>
    <row r="625" ht="12.75" customHeight="1">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row>
    <row r="626" ht="12.75" customHeight="1">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row>
    <row r="627" ht="12.75" customHeight="1">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row>
    <row r="628" ht="12.75" customHeight="1">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row>
    <row r="629" ht="12.75" customHeight="1">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row>
    <row r="630" ht="12.75" customHeight="1">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row>
    <row r="631" ht="12.75" customHeight="1">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row>
    <row r="632" ht="12.75" customHeight="1">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row>
    <row r="633" ht="12.75" customHeight="1">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row>
    <row r="634" ht="12.75" customHeight="1">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row>
    <row r="635" ht="12.75" customHeight="1">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row>
    <row r="636" ht="12.75" customHeight="1">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row>
    <row r="637" ht="12.75" customHeight="1">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row>
    <row r="638" ht="12.75" customHeight="1">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row>
    <row r="639" ht="12.75" customHeight="1">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row>
    <row r="640" ht="12.75" customHeight="1">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ht="12.75" customHeight="1">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row>
    <row r="642" ht="12.75" customHeight="1">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row>
    <row r="643" ht="12.75" customHeight="1">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row>
    <row r="644" ht="12.75" customHeight="1">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row>
    <row r="645" ht="12.75" customHeight="1">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row>
    <row r="646" ht="12.75" customHeight="1">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row>
    <row r="647" ht="12.75" customHeight="1">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row>
    <row r="648" ht="12.75" customHeight="1">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row>
    <row r="649" ht="12.75" customHeight="1">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row>
    <row r="650" ht="12.75" customHeight="1">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row>
    <row r="651" ht="12.75" customHeight="1">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row>
    <row r="652" ht="12.75" customHeight="1">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row>
    <row r="653" ht="12.75" customHeight="1">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row>
    <row r="654" ht="12.75" customHeight="1">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row>
    <row r="655" ht="12.75" customHeight="1">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row>
    <row r="656" ht="12.75" customHeight="1">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row>
    <row r="657" ht="12.75" customHeight="1">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row>
    <row r="658" ht="12.75" customHeight="1">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row>
    <row r="659" ht="12.75" customHeight="1">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row>
    <row r="660" ht="12.75" customHeight="1">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row>
    <row r="661" ht="12.75" customHeight="1">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row>
    <row r="662" ht="12.75" customHeight="1">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row>
    <row r="663" ht="12.75" customHeight="1">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row>
    <row r="664" ht="12.75" customHeight="1">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row>
    <row r="665" ht="12.75" customHeight="1">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row>
    <row r="666" ht="12.75" customHeight="1">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row>
    <row r="667" ht="12.75" customHeight="1">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row>
    <row r="668" ht="12.75" customHeight="1">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row>
    <row r="669" ht="12.75" customHeight="1">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row>
    <row r="670" ht="12.75" customHeight="1">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row>
    <row r="671" ht="12.75" customHeight="1">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row>
    <row r="672" ht="12.75" customHeight="1">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row>
    <row r="673" ht="12.75" customHeight="1">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row>
    <row r="674" ht="12.75" customHeight="1">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row>
    <row r="675" ht="12.75" customHeight="1">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row>
    <row r="676" ht="12.75" customHeight="1">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ht="12.75" customHeight="1">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row>
    <row r="678" ht="12.75" customHeight="1">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row>
    <row r="679" ht="12.75" customHeight="1">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row>
    <row r="680" ht="12.75" customHeight="1">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row>
    <row r="681" ht="12.75" customHeight="1">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row>
    <row r="682" ht="12.75" customHeight="1">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row>
    <row r="683" ht="12.75" customHeight="1">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row>
    <row r="684" ht="12.75" customHeight="1">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row>
    <row r="685" ht="12.75" customHeight="1">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row>
    <row r="686" ht="12.75" customHeight="1">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row>
    <row r="687" ht="12.75" customHeight="1">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row>
    <row r="688" ht="12.75" customHeight="1">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row>
    <row r="689" ht="12.75" customHeight="1">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row>
    <row r="690" ht="12.75" customHeight="1">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row>
    <row r="691" ht="12.75" customHeight="1">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row>
    <row r="692" ht="12.75" customHeight="1">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row>
    <row r="693" ht="12.75" customHeight="1">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row>
    <row r="694" ht="12.75" customHeight="1">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row>
    <row r="695" ht="12.75" customHeight="1">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row>
    <row r="696" ht="12.75" customHeight="1">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row>
    <row r="697" ht="12.75" customHeight="1">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row>
    <row r="698" ht="12.75" customHeight="1">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row>
    <row r="699" ht="12.75" customHeight="1">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row>
    <row r="700" ht="12.75" customHeight="1">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row>
    <row r="701" ht="12.75" customHeight="1">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row>
    <row r="702" ht="12.75" customHeight="1">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row>
    <row r="703" ht="12.75" customHeight="1">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row>
    <row r="704" ht="12.75" customHeight="1">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row>
    <row r="705" ht="12.75" customHeight="1">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row>
    <row r="706" ht="12.75" customHeight="1">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row>
    <row r="707" ht="12.75" customHeight="1">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row>
    <row r="708" ht="12.75" customHeight="1">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row>
    <row r="709" ht="12.75" customHeight="1">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row>
    <row r="710" ht="12.75" customHeight="1">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row>
    <row r="711" ht="12.75" customHeight="1">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row>
    <row r="712" ht="12.75" customHeight="1">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ht="12.75" customHeight="1">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row>
    <row r="714" ht="12.75" customHeight="1">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row>
    <row r="715" ht="12.75" customHeight="1">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row>
    <row r="716" ht="12.75" customHeight="1">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row>
    <row r="717" ht="12.75" customHeight="1">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row>
    <row r="718" ht="12.75" customHeight="1">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row>
    <row r="719" ht="12.75" customHeight="1">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row>
    <row r="720" ht="12.75" customHeight="1">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row>
    <row r="721" ht="12.75" customHeight="1">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row>
    <row r="722" ht="12.75" customHeight="1">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row>
    <row r="723" ht="12.75" customHeight="1">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row>
    <row r="724" ht="12.75" customHeight="1">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row>
    <row r="725" ht="12.75" customHeight="1">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row>
    <row r="726" ht="12.75" customHeight="1">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row>
    <row r="727" ht="12.75" customHeight="1">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row>
    <row r="728" ht="12.75" customHeight="1">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row>
    <row r="729" ht="12.75" customHeight="1">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row>
    <row r="730" ht="12.75" customHeight="1">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row>
    <row r="731" ht="12.75" customHeight="1">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row>
    <row r="732" ht="12.75" customHeight="1">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row>
    <row r="733" ht="12.75" customHeight="1">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row>
    <row r="734" ht="12.75" customHeight="1">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row>
    <row r="735" ht="12.75" customHeight="1">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row>
    <row r="736" ht="12.75" customHeight="1">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row>
    <row r="737" ht="12.75" customHeight="1">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row>
    <row r="738" ht="12.75" customHeight="1">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row>
    <row r="739" ht="12.75" customHeight="1">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row>
    <row r="740" ht="12.75" customHeight="1">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row>
    <row r="741" ht="12.75" customHeight="1">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row>
    <row r="742" ht="12.75" customHeight="1">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row>
    <row r="743" ht="12.75" customHeight="1">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row>
    <row r="744" ht="12.75" customHeight="1">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row>
    <row r="745" ht="12.75" customHeight="1">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row>
    <row r="746" ht="12.75" customHeight="1">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row>
    <row r="747" ht="12.75" customHeight="1">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row>
    <row r="748" ht="12.75" customHeight="1">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row>
    <row r="749" ht="12.75" customHeight="1">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row>
    <row r="750" ht="12.75" customHeight="1">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row>
    <row r="751" ht="12.75" customHeight="1">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row>
    <row r="752" ht="12.75" customHeight="1">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row>
    <row r="753" ht="12.75" customHeight="1">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row>
    <row r="754" ht="12.75" customHeight="1">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row>
    <row r="755" ht="12.75" customHeight="1">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row>
    <row r="756" ht="12.75" customHeight="1">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row>
    <row r="757" ht="12.75" customHeight="1">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row>
    <row r="758" ht="12.75" customHeight="1">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row>
    <row r="759" ht="12.75" customHeight="1">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row>
    <row r="760" ht="12.75" customHeight="1">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row>
    <row r="761" ht="12.75" customHeight="1">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row>
    <row r="762" ht="12.75" customHeight="1">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row>
    <row r="763" ht="12.75" customHeight="1">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row>
    <row r="764" ht="12.75" customHeight="1">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row>
    <row r="765" ht="12.75" customHeight="1">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row>
    <row r="766" ht="12.75" customHeight="1">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row>
    <row r="767" ht="12.75" customHeight="1">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row>
    <row r="768" ht="12.75" customHeight="1">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row>
    <row r="769" ht="12.75" customHeight="1">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row>
    <row r="770" ht="12.75" customHeight="1">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row>
    <row r="771" ht="12.75" customHeight="1">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row>
    <row r="772" ht="12.75" customHeight="1">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row>
    <row r="773" ht="12.75" customHeight="1">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row>
    <row r="774" ht="12.75" customHeight="1">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row>
    <row r="775" ht="12.75" customHeight="1">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row>
    <row r="776" ht="12.75" customHeight="1">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row>
    <row r="777" ht="12.75" customHeight="1">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row>
    <row r="778" ht="12.75" customHeight="1">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row>
    <row r="779" ht="12.75" customHeight="1">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row>
    <row r="780" ht="12.75" customHeight="1">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row>
    <row r="781" ht="12.75" customHeight="1">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row>
    <row r="782" ht="12.75" customHeight="1">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row>
    <row r="783" ht="12.75" customHeight="1">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row>
    <row r="784" ht="12.75" customHeight="1">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row>
    <row r="785" ht="12.75" customHeight="1">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row>
    <row r="786" ht="12.75" customHeight="1">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row>
    <row r="787" ht="12.75" customHeight="1">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row>
    <row r="788" ht="12.75" customHeight="1">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row>
    <row r="789" ht="12.75" customHeight="1">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row>
    <row r="790" ht="12.75" customHeight="1">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row>
    <row r="791" ht="12.75" customHeight="1">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row>
    <row r="792" ht="12.75" customHeight="1">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row>
    <row r="793" ht="12.75" customHeight="1">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row>
    <row r="794" ht="12.75" customHeight="1">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row>
    <row r="795" ht="12.75" customHeight="1">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row>
    <row r="796" ht="12.75" customHeight="1">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row>
    <row r="797" ht="12.75" customHeight="1">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row>
    <row r="798" ht="12.75" customHeight="1">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row>
    <row r="799" ht="12.75" customHeight="1">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row>
    <row r="800" ht="12.75" customHeight="1">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row>
    <row r="801" ht="12.75" customHeight="1">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row>
    <row r="802" ht="12.75" customHeight="1">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row>
    <row r="803" ht="12.75" customHeight="1">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row>
    <row r="804" ht="12.75" customHeight="1">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row>
    <row r="805" ht="12.75" customHeight="1">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row>
    <row r="806" ht="12.75" customHeight="1">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row>
    <row r="807" ht="12.75" customHeight="1">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row>
    <row r="808" ht="12.75" customHeight="1">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row>
    <row r="809" ht="12.75" customHeight="1">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row>
    <row r="810" ht="12.75" customHeight="1">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row>
    <row r="811" ht="12.75" customHeight="1">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row>
    <row r="812" ht="12.75" customHeight="1">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row>
    <row r="813" ht="12.75" customHeight="1">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row>
    <row r="814" ht="12.75" customHeight="1">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row>
    <row r="815" ht="12.75" customHeight="1">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row>
    <row r="816" ht="12.75" customHeight="1">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row>
    <row r="817" ht="12.75" customHeight="1">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row>
    <row r="818" ht="12.75" customHeight="1">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row>
    <row r="819" ht="12.75" customHeight="1">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row>
    <row r="820" ht="12.75" customHeight="1">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row>
    <row r="821" ht="12.75" customHeight="1">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row>
    <row r="822" ht="12.75" customHeight="1">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row>
    <row r="823" ht="12.75" customHeight="1">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row>
    <row r="824" ht="12.75" customHeight="1">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row>
    <row r="825" ht="12.75" customHeight="1">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row>
    <row r="826" ht="12.75" customHeight="1">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row>
    <row r="827" ht="12.75" customHeight="1">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row>
    <row r="828" ht="12.75" customHeight="1">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row>
    <row r="829" ht="12.75" customHeight="1">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row>
    <row r="830" ht="12.75" customHeight="1">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row>
    <row r="831" ht="12.75" customHeight="1">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row>
    <row r="832" ht="12.75" customHeight="1">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row>
    <row r="833" ht="12.75" customHeight="1">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row>
    <row r="834" ht="12.75" customHeight="1">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row>
    <row r="835" ht="12.75" customHeight="1">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row>
    <row r="836" ht="12.75" customHeight="1">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row>
    <row r="837" ht="12.75" customHeight="1">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row>
    <row r="838" ht="12.75" customHeight="1">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row>
    <row r="839" ht="12.75" customHeight="1">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row>
    <row r="840" ht="12.75" customHeight="1">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row>
    <row r="841" ht="12.75" customHeight="1">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row>
    <row r="842" ht="12.75" customHeight="1">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row>
    <row r="843" ht="12.75" customHeight="1">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row>
    <row r="844" ht="12.75" customHeight="1">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row>
    <row r="845" ht="12.75" customHeight="1">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row>
    <row r="846" ht="12.75" customHeight="1">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row>
    <row r="847" ht="12.75" customHeight="1">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row>
    <row r="848" ht="12.75" customHeight="1">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row>
    <row r="849" ht="12.75" customHeight="1">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row>
    <row r="850" ht="12.75" customHeight="1">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row>
    <row r="851" ht="12.75" customHeight="1">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row>
    <row r="852" ht="12.75" customHeight="1">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row>
    <row r="853" ht="12.75" customHeight="1">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row>
    <row r="854" ht="12.75" customHeight="1">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row>
    <row r="855" ht="12.75" customHeight="1">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row>
    <row r="856" ht="12.75" customHeight="1">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row>
    <row r="857" ht="12.75" customHeight="1">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row>
    <row r="858" ht="12.75" customHeight="1">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row>
    <row r="859" ht="12.75" customHeight="1">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row>
    <row r="860" ht="12.75" customHeight="1">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row>
    <row r="861" ht="12.75" customHeight="1">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row>
    <row r="862" ht="12.75" customHeight="1">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row>
    <row r="863" ht="12.75" customHeight="1">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row>
    <row r="864" ht="12.75" customHeight="1">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row>
    <row r="865" ht="12.75" customHeight="1">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row>
    <row r="866" ht="12.75" customHeight="1">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row>
    <row r="867" ht="12.75" customHeight="1">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row>
    <row r="868" ht="12.75" customHeight="1">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row>
    <row r="869" ht="12.75" customHeight="1">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row>
    <row r="870" ht="12.75" customHeight="1">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row>
    <row r="871" ht="12.75" customHeight="1">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row>
    <row r="872" ht="12.75" customHeight="1">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row>
    <row r="873" ht="12.75" customHeight="1">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row>
    <row r="874" ht="12.75" customHeight="1">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row>
    <row r="875" ht="12.75" customHeight="1">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row>
    <row r="876" ht="12.75" customHeight="1">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row>
    <row r="877" ht="12.75" customHeight="1">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row>
    <row r="878" ht="12.75" customHeight="1">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row>
    <row r="879" ht="12.75" customHeight="1">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row>
    <row r="880" ht="12.75" customHeight="1">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row>
    <row r="881" ht="12.75" customHeight="1">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row>
    <row r="882" ht="12.75" customHeight="1">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row>
    <row r="883" ht="12.75" customHeight="1">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row>
    <row r="884" ht="12.75" customHeight="1">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row>
    <row r="885" ht="12.75" customHeight="1">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row>
    <row r="886" ht="12.75" customHeight="1">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row>
    <row r="887" ht="12.75" customHeight="1">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row>
    <row r="888" ht="12.75" customHeight="1">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row>
    <row r="889" ht="12.75" customHeight="1">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row>
    <row r="890" ht="12.75" customHeight="1">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row>
    <row r="891" ht="12.75" customHeight="1">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row>
    <row r="892" ht="12.75" customHeight="1">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row>
    <row r="893" ht="12.75" customHeight="1">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row>
    <row r="894" ht="12.75" customHeight="1">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row>
    <row r="895" ht="12.75" customHeight="1">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row>
    <row r="896" ht="12.75" customHeight="1">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row>
    <row r="897" ht="12.75" customHeight="1">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row>
    <row r="898" ht="12.75" customHeight="1">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row>
    <row r="899" ht="12.75" customHeight="1">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row>
    <row r="900" ht="12.75" customHeight="1">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row>
    <row r="901" ht="12.75" customHeight="1">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row>
    <row r="902" ht="12.75" customHeight="1">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row>
    <row r="903" ht="12.75" customHeight="1">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row>
    <row r="904" ht="12.75" customHeight="1">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row>
    <row r="905" ht="12.75" customHeight="1">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row>
    <row r="906" ht="12.75" customHeight="1">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row>
    <row r="907" ht="12.75" customHeight="1">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row>
    <row r="908" ht="12.75" customHeight="1">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row>
    <row r="909" ht="12.75" customHeight="1">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row>
    <row r="910" ht="12.75" customHeight="1">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row>
    <row r="911" ht="12.75" customHeight="1">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row>
    <row r="912" ht="12.75" customHeight="1">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row>
    <row r="913" ht="12.75" customHeight="1">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row>
    <row r="914" ht="12.75" customHeight="1">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row>
    <row r="915" ht="12.75" customHeight="1">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row>
    <row r="916" ht="12.75" customHeight="1">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row>
    <row r="917" ht="12.75" customHeight="1">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row>
    <row r="918" ht="12.75" customHeight="1">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row>
    <row r="919" ht="12.75" customHeight="1">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row>
    <row r="920" ht="12.75" customHeight="1">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row>
    <row r="921" ht="12.75" customHeight="1">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row>
    <row r="922" ht="12.75" customHeight="1">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row>
    <row r="923" ht="12.75" customHeight="1">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row>
    <row r="924" ht="12.75" customHeight="1">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row>
    <row r="925" ht="12.75" customHeight="1">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row>
    <row r="926" ht="12.75" customHeight="1">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row>
    <row r="927" ht="12.75" customHeight="1">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row>
    <row r="928" ht="12.75" customHeight="1">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row>
    <row r="929" ht="12.75" customHeight="1">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row>
    <row r="930" ht="12.75" customHeight="1">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row>
    <row r="931" ht="12.75" customHeight="1">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row>
    <row r="932" ht="12.75" customHeight="1">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row>
    <row r="933" ht="12.75" customHeight="1">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row>
    <row r="934" ht="12.75" customHeight="1">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row>
    <row r="935" ht="12.75" customHeight="1">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row>
    <row r="936" ht="12.75" customHeight="1">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row>
    <row r="937" ht="12.75" customHeight="1">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row>
    <row r="938" ht="12.75" customHeight="1">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row>
    <row r="939" ht="12.75" customHeight="1">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row>
    <row r="940" ht="12.75" customHeight="1">
      <c r="A940" s="93"/>
      <c r="B940" s="93"/>
      <c r="C940" s="93"/>
      <c r="D940" s="93"/>
      <c r="E940" s="93"/>
      <c r="F940" s="93"/>
      <c r="G940" s="93"/>
      <c r="H940" s="93"/>
      <c r="I940" s="93"/>
      <c r="J940" s="93"/>
      <c r="K940" s="93"/>
      <c r="L940" s="93"/>
      <c r="M940" s="93"/>
      <c r="N940" s="93"/>
      <c r="O940" s="93"/>
      <c r="P940" s="93"/>
      <c r="Q940" s="93"/>
      <c r="R940" s="93"/>
      <c r="S940" s="93"/>
      <c r="T940" s="93"/>
      <c r="U940" s="93"/>
      <c r="V940" s="93"/>
      <c r="W940" s="93"/>
      <c r="X940" s="93"/>
      <c r="Y940" s="93"/>
      <c r="Z940" s="93"/>
    </row>
    <row r="941" ht="12.75" customHeight="1">
      <c r="A941" s="93"/>
      <c r="B941" s="93"/>
      <c r="C941" s="93"/>
      <c r="D941" s="93"/>
      <c r="E941" s="93"/>
      <c r="F941" s="93"/>
      <c r="G941" s="93"/>
      <c r="H941" s="93"/>
      <c r="I941" s="93"/>
      <c r="J941" s="93"/>
      <c r="K941" s="93"/>
      <c r="L941" s="93"/>
      <c r="M941" s="93"/>
      <c r="N941" s="93"/>
      <c r="O941" s="93"/>
      <c r="P941" s="93"/>
      <c r="Q941" s="93"/>
      <c r="R941" s="93"/>
      <c r="S941" s="93"/>
      <c r="T941" s="93"/>
      <c r="U941" s="93"/>
      <c r="V941" s="93"/>
      <c r="W941" s="93"/>
      <c r="X941" s="93"/>
      <c r="Y941" s="93"/>
      <c r="Z941" s="93"/>
    </row>
    <row r="942" ht="12.75" customHeight="1">
      <c r="A942" s="93"/>
      <c r="B942" s="93"/>
      <c r="C942" s="93"/>
      <c r="D942" s="93"/>
      <c r="E942" s="93"/>
      <c r="F942" s="93"/>
      <c r="G942" s="93"/>
      <c r="H942" s="93"/>
      <c r="I942" s="93"/>
      <c r="J942" s="93"/>
      <c r="K942" s="93"/>
      <c r="L942" s="93"/>
      <c r="M942" s="93"/>
      <c r="N942" s="93"/>
      <c r="O942" s="93"/>
      <c r="P942" s="93"/>
      <c r="Q942" s="93"/>
      <c r="R942" s="93"/>
      <c r="S942" s="93"/>
      <c r="T942" s="93"/>
      <c r="U942" s="93"/>
      <c r="V942" s="93"/>
      <c r="W942" s="93"/>
      <c r="X942" s="93"/>
      <c r="Y942" s="93"/>
      <c r="Z942" s="93"/>
    </row>
    <row r="943" ht="12.75" customHeight="1">
      <c r="A943" s="93"/>
      <c r="B943" s="93"/>
      <c r="C943" s="93"/>
      <c r="D943" s="93"/>
      <c r="E943" s="93"/>
      <c r="F943" s="93"/>
      <c r="G943" s="93"/>
      <c r="H943" s="93"/>
      <c r="I943" s="93"/>
      <c r="J943" s="93"/>
      <c r="K943" s="93"/>
      <c r="L943" s="93"/>
      <c r="M943" s="93"/>
      <c r="N943" s="93"/>
      <c r="O943" s="93"/>
      <c r="P943" s="93"/>
      <c r="Q943" s="93"/>
      <c r="R943" s="93"/>
      <c r="S943" s="93"/>
      <c r="T943" s="93"/>
      <c r="U943" s="93"/>
      <c r="V943" s="93"/>
      <c r="W943" s="93"/>
      <c r="X943" s="93"/>
      <c r="Y943" s="93"/>
      <c r="Z943" s="93"/>
    </row>
    <row r="944" ht="12.75" customHeight="1">
      <c r="A944" s="93"/>
      <c r="B944" s="93"/>
      <c r="C944" s="93"/>
      <c r="D944" s="93"/>
      <c r="E944" s="93"/>
      <c r="F944" s="93"/>
      <c r="G944" s="93"/>
      <c r="H944" s="93"/>
      <c r="I944" s="93"/>
      <c r="J944" s="93"/>
      <c r="K944" s="93"/>
      <c r="L944" s="93"/>
      <c r="M944" s="93"/>
      <c r="N944" s="93"/>
      <c r="O944" s="93"/>
      <c r="P944" s="93"/>
      <c r="Q944" s="93"/>
      <c r="R944" s="93"/>
      <c r="S944" s="93"/>
      <c r="T944" s="93"/>
      <c r="U944" s="93"/>
      <c r="V944" s="93"/>
      <c r="W944" s="93"/>
      <c r="X944" s="93"/>
      <c r="Y944" s="93"/>
      <c r="Z944" s="93"/>
    </row>
    <row r="945" ht="12.75" customHeight="1">
      <c r="A945" s="93"/>
      <c r="B945" s="93"/>
      <c r="C945" s="93"/>
      <c r="D945" s="93"/>
      <c r="E945" s="93"/>
      <c r="F945" s="93"/>
      <c r="G945" s="93"/>
      <c r="H945" s="93"/>
      <c r="I945" s="93"/>
      <c r="J945" s="93"/>
      <c r="K945" s="93"/>
      <c r="L945" s="93"/>
      <c r="M945" s="93"/>
      <c r="N945" s="93"/>
      <c r="O945" s="93"/>
      <c r="P945" s="93"/>
      <c r="Q945" s="93"/>
      <c r="R945" s="93"/>
      <c r="S945" s="93"/>
      <c r="T945" s="93"/>
      <c r="U945" s="93"/>
      <c r="V945" s="93"/>
      <c r="W945" s="93"/>
      <c r="X945" s="93"/>
      <c r="Y945" s="93"/>
      <c r="Z945" s="93"/>
    </row>
    <row r="946" ht="12.75" customHeight="1">
      <c r="A946" s="93"/>
      <c r="B946" s="93"/>
      <c r="C946" s="93"/>
      <c r="D946" s="93"/>
      <c r="E946" s="93"/>
      <c r="F946" s="93"/>
      <c r="G946" s="93"/>
      <c r="H946" s="93"/>
      <c r="I946" s="93"/>
      <c r="J946" s="93"/>
      <c r="K946" s="93"/>
      <c r="L946" s="93"/>
      <c r="M946" s="93"/>
      <c r="N946" s="93"/>
      <c r="O946" s="93"/>
      <c r="P946" s="93"/>
      <c r="Q946" s="93"/>
      <c r="R946" s="93"/>
      <c r="S946" s="93"/>
      <c r="T946" s="93"/>
      <c r="U946" s="93"/>
      <c r="V946" s="93"/>
      <c r="W946" s="93"/>
      <c r="X946" s="93"/>
      <c r="Y946" s="93"/>
      <c r="Z946" s="93"/>
    </row>
    <row r="947" ht="12.75" customHeight="1">
      <c r="A947" s="93"/>
      <c r="B947" s="93"/>
      <c r="C947" s="93"/>
      <c r="D947" s="93"/>
      <c r="E947" s="93"/>
      <c r="F947" s="93"/>
      <c r="G947" s="93"/>
      <c r="H947" s="93"/>
      <c r="I947" s="93"/>
      <c r="J947" s="93"/>
      <c r="K947" s="93"/>
      <c r="L947" s="93"/>
      <c r="M947" s="93"/>
      <c r="N947" s="93"/>
      <c r="O947" s="93"/>
      <c r="P947" s="93"/>
      <c r="Q947" s="93"/>
      <c r="R947" s="93"/>
      <c r="S947" s="93"/>
      <c r="T947" s="93"/>
      <c r="U947" s="93"/>
      <c r="V947" s="93"/>
      <c r="W947" s="93"/>
      <c r="X947" s="93"/>
      <c r="Y947" s="93"/>
      <c r="Z947" s="93"/>
    </row>
    <row r="948" ht="12.75" customHeight="1">
      <c r="A948" s="93"/>
      <c r="B948" s="93"/>
      <c r="C948" s="93"/>
      <c r="D948" s="93"/>
      <c r="E948" s="93"/>
      <c r="F948" s="93"/>
      <c r="G948" s="93"/>
      <c r="H948" s="93"/>
      <c r="I948" s="93"/>
      <c r="J948" s="93"/>
      <c r="K948" s="93"/>
      <c r="L948" s="93"/>
      <c r="M948" s="93"/>
      <c r="N948" s="93"/>
      <c r="O948" s="93"/>
      <c r="P948" s="93"/>
      <c r="Q948" s="93"/>
      <c r="R948" s="93"/>
      <c r="S948" s="93"/>
      <c r="T948" s="93"/>
      <c r="U948" s="93"/>
      <c r="V948" s="93"/>
      <c r="W948" s="93"/>
      <c r="X948" s="93"/>
      <c r="Y948" s="93"/>
      <c r="Z948" s="93"/>
    </row>
    <row r="949" ht="12.75" customHeight="1">
      <c r="A949" s="93"/>
      <c r="B949" s="93"/>
      <c r="C949" s="93"/>
      <c r="D949" s="93"/>
      <c r="E949" s="93"/>
      <c r="F949" s="93"/>
      <c r="G949" s="93"/>
      <c r="H949" s="93"/>
      <c r="I949" s="93"/>
      <c r="J949" s="93"/>
      <c r="K949" s="93"/>
      <c r="L949" s="93"/>
      <c r="M949" s="93"/>
      <c r="N949" s="93"/>
      <c r="O949" s="93"/>
      <c r="P949" s="93"/>
      <c r="Q949" s="93"/>
      <c r="R949" s="93"/>
      <c r="S949" s="93"/>
      <c r="T949" s="93"/>
      <c r="U949" s="93"/>
      <c r="V949" s="93"/>
      <c r="W949" s="93"/>
      <c r="X949" s="93"/>
      <c r="Y949" s="93"/>
      <c r="Z949" s="93"/>
    </row>
    <row r="950" ht="12.75" customHeight="1">
      <c r="A950" s="93"/>
      <c r="B950" s="93"/>
      <c r="C950" s="93"/>
      <c r="D950" s="93"/>
      <c r="E950" s="93"/>
      <c r="F950" s="93"/>
      <c r="G950" s="93"/>
      <c r="H950" s="93"/>
      <c r="I950" s="93"/>
      <c r="J950" s="93"/>
      <c r="K950" s="93"/>
      <c r="L950" s="93"/>
      <c r="M950" s="93"/>
      <c r="N950" s="93"/>
      <c r="O950" s="93"/>
      <c r="P950" s="93"/>
      <c r="Q950" s="93"/>
      <c r="R950" s="93"/>
      <c r="S950" s="93"/>
      <c r="T950" s="93"/>
      <c r="U950" s="93"/>
      <c r="V950" s="93"/>
      <c r="W950" s="93"/>
      <c r="X950" s="93"/>
      <c r="Y950" s="93"/>
      <c r="Z950" s="93"/>
    </row>
    <row r="951" ht="12.75" customHeight="1">
      <c r="A951" s="93"/>
      <c r="B951" s="93"/>
      <c r="C951" s="93"/>
      <c r="D951" s="93"/>
      <c r="E951" s="93"/>
      <c r="F951" s="93"/>
      <c r="G951" s="93"/>
      <c r="H951" s="93"/>
      <c r="I951" s="93"/>
      <c r="J951" s="93"/>
      <c r="K951" s="93"/>
      <c r="L951" s="93"/>
      <c r="M951" s="93"/>
      <c r="N951" s="93"/>
      <c r="O951" s="93"/>
      <c r="P951" s="93"/>
      <c r="Q951" s="93"/>
      <c r="R951" s="93"/>
      <c r="S951" s="93"/>
      <c r="T951" s="93"/>
      <c r="U951" s="93"/>
      <c r="V951" s="93"/>
      <c r="W951" s="93"/>
      <c r="X951" s="93"/>
      <c r="Y951" s="93"/>
      <c r="Z951" s="93"/>
    </row>
    <row r="952" ht="12.75" customHeight="1">
      <c r="A952" s="93"/>
      <c r="B952" s="93"/>
      <c r="C952" s="93"/>
      <c r="D952" s="93"/>
      <c r="E952" s="93"/>
      <c r="F952" s="93"/>
      <c r="G952" s="93"/>
      <c r="H952" s="93"/>
      <c r="I952" s="93"/>
      <c r="J952" s="93"/>
      <c r="K952" s="93"/>
      <c r="L952" s="93"/>
      <c r="M952" s="93"/>
      <c r="N952" s="93"/>
      <c r="O952" s="93"/>
      <c r="P952" s="93"/>
      <c r="Q952" s="93"/>
      <c r="R952" s="93"/>
      <c r="S952" s="93"/>
      <c r="T952" s="93"/>
      <c r="U952" s="93"/>
      <c r="V952" s="93"/>
      <c r="W952" s="93"/>
      <c r="X952" s="93"/>
      <c r="Y952" s="93"/>
      <c r="Z952" s="93"/>
    </row>
    <row r="953" ht="12.75" customHeight="1">
      <c r="A953" s="93"/>
      <c r="B953" s="93"/>
      <c r="C953" s="93"/>
      <c r="D953" s="93"/>
      <c r="E953" s="93"/>
      <c r="F953" s="93"/>
      <c r="G953" s="93"/>
      <c r="H953" s="93"/>
      <c r="I953" s="93"/>
      <c r="J953" s="93"/>
      <c r="K953" s="93"/>
      <c r="L953" s="93"/>
      <c r="M953" s="93"/>
      <c r="N953" s="93"/>
      <c r="O953" s="93"/>
      <c r="P953" s="93"/>
      <c r="Q953" s="93"/>
      <c r="R953" s="93"/>
      <c r="S953" s="93"/>
      <c r="T953" s="93"/>
      <c r="U953" s="93"/>
      <c r="V953" s="93"/>
      <c r="W953" s="93"/>
      <c r="X953" s="93"/>
      <c r="Y953" s="93"/>
      <c r="Z953" s="93"/>
    </row>
    <row r="954" ht="12.75" customHeight="1">
      <c r="A954" s="93"/>
      <c r="B954" s="93"/>
      <c r="C954" s="93"/>
      <c r="D954" s="93"/>
      <c r="E954" s="93"/>
      <c r="F954" s="93"/>
      <c r="G954" s="93"/>
      <c r="H954" s="93"/>
      <c r="I954" s="93"/>
      <c r="J954" s="93"/>
      <c r="K954" s="93"/>
      <c r="L954" s="93"/>
      <c r="M954" s="93"/>
      <c r="N954" s="93"/>
      <c r="O954" s="93"/>
      <c r="P954" s="93"/>
      <c r="Q954" s="93"/>
      <c r="R954" s="93"/>
      <c r="S954" s="93"/>
      <c r="T954" s="93"/>
      <c r="U954" s="93"/>
      <c r="V954" s="93"/>
      <c r="W954" s="93"/>
      <c r="X954" s="93"/>
      <c r="Y954" s="93"/>
      <c r="Z954" s="93"/>
    </row>
    <row r="955" ht="12.75" customHeight="1">
      <c r="A955" s="93"/>
      <c r="B955" s="93"/>
      <c r="C955" s="93"/>
      <c r="D955" s="93"/>
      <c r="E955" s="93"/>
      <c r="F955" s="93"/>
      <c r="G955" s="93"/>
      <c r="H955" s="93"/>
      <c r="I955" s="93"/>
      <c r="J955" s="93"/>
      <c r="K955" s="93"/>
      <c r="L955" s="93"/>
      <c r="M955" s="93"/>
      <c r="N955" s="93"/>
      <c r="O955" s="93"/>
      <c r="P955" s="93"/>
      <c r="Q955" s="93"/>
      <c r="R955" s="93"/>
      <c r="S955" s="93"/>
      <c r="T955" s="93"/>
      <c r="U955" s="93"/>
      <c r="V955" s="93"/>
      <c r="W955" s="93"/>
      <c r="X955" s="93"/>
      <c r="Y955" s="93"/>
      <c r="Z955" s="93"/>
    </row>
    <row r="956" ht="12.75" customHeight="1">
      <c r="A956" s="93"/>
      <c r="B956" s="93"/>
      <c r="C956" s="93"/>
      <c r="D956" s="93"/>
      <c r="E956" s="93"/>
      <c r="F956" s="93"/>
      <c r="G956" s="93"/>
      <c r="H956" s="93"/>
      <c r="I956" s="93"/>
      <c r="J956" s="93"/>
      <c r="K956" s="93"/>
      <c r="L956" s="93"/>
      <c r="M956" s="93"/>
      <c r="N956" s="93"/>
      <c r="O956" s="93"/>
      <c r="P956" s="93"/>
      <c r="Q956" s="93"/>
      <c r="R956" s="93"/>
      <c r="S956" s="93"/>
      <c r="T956" s="93"/>
      <c r="U956" s="93"/>
      <c r="V956" s="93"/>
      <c r="W956" s="93"/>
      <c r="X956" s="93"/>
      <c r="Y956" s="93"/>
      <c r="Z956" s="93"/>
    </row>
    <row r="957" ht="12.75" customHeight="1">
      <c r="A957" s="93"/>
      <c r="B957" s="93"/>
      <c r="C957" s="93"/>
      <c r="D957" s="93"/>
      <c r="E957" s="93"/>
      <c r="F957" s="93"/>
      <c r="G957" s="93"/>
      <c r="H957" s="93"/>
      <c r="I957" s="93"/>
      <c r="J957" s="93"/>
      <c r="K957" s="93"/>
      <c r="L957" s="93"/>
      <c r="M957" s="93"/>
      <c r="N957" s="93"/>
      <c r="O957" s="93"/>
      <c r="P957" s="93"/>
      <c r="Q957" s="93"/>
      <c r="R957" s="93"/>
      <c r="S957" s="93"/>
      <c r="T957" s="93"/>
      <c r="U957" s="93"/>
      <c r="V957" s="93"/>
      <c r="W957" s="93"/>
      <c r="X957" s="93"/>
      <c r="Y957" s="93"/>
      <c r="Z957" s="93"/>
    </row>
    <row r="958" ht="12.75" customHeight="1">
      <c r="A958" s="93"/>
      <c r="B958" s="93"/>
      <c r="C958" s="93"/>
      <c r="D958" s="93"/>
      <c r="E958" s="93"/>
      <c r="F958" s="93"/>
      <c r="G958" s="93"/>
      <c r="H958" s="93"/>
      <c r="I958" s="93"/>
      <c r="J958" s="93"/>
      <c r="K958" s="93"/>
      <c r="L958" s="93"/>
      <c r="M958" s="93"/>
      <c r="N958" s="93"/>
      <c r="O958" s="93"/>
      <c r="P958" s="93"/>
      <c r="Q958" s="93"/>
      <c r="R958" s="93"/>
      <c r="S958" s="93"/>
      <c r="T958" s="93"/>
      <c r="U958" s="93"/>
      <c r="V958" s="93"/>
      <c r="W958" s="93"/>
      <c r="X958" s="93"/>
      <c r="Y958" s="93"/>
      <c r="Z958" s="93"/>
    </row>
    <row r="959" ht="12.75" customHeight="1">
      <c r="A959" s="93"/>
      <c r="B959" s="93"/>
      <c r="C959" s="93"/>
      <c r="D959" s="93"/>
      <c r="E959" s="93"/>
      <c r="F959" s="93"/>
      <c r="G959" s="93"/>
      <c r="H959" s="93"/>
      <c r="I959" s="93"/>
      <c r="J959" s="93"/>
      <c r="K959" s="93"/>
      <c r="L959" s="93"/>
      <c r="M959" s="93"/>
      <c r="N959" s="93"/>
      <c r="O959" s="93"/>
      <c r="P959" s="93"/>
      <c r="Q959" s="93"/>
      <c r="R959" s="93"/>
      <c r="S959" s="93"/>
      <c r="T959" s="93"/>
      <c r="U959" s="93"/>
      <c r="V959" s="93"/>
      <c r="W959" s="93"/>
      <c r="X959" s="93"/>
      <c r="Y959" s="93"/>
      <c r="Z959" s="93"/>
    </row>
    <row r="960" ht="12.75" customHeight="1">
      <c r="A960" s="93"/>
      <c r="B960" s="93"/>
      <c r="C960" s="93"/>
      <c r="D960" s="93"/>
      <c r="E960" s="93"/>
      <c r="F960" s="93"/>
      <c r="G960" s="93"/>
      <c r="H960" s="93"/>
      <c r="I960" s="93"/>
      <c r="J960" s="93"/>
      <c r="K960" s="93"/>
      <c r="L960" s="93"/>
      <c r="M960" s="93"/>
      <c r="N960" s="93"/>
      <c r="O960" s="93"/>
      <c r="P960" s="93"/>
      <c r="Q960" s="93"/>
      <c r="R960" s="93"/>
      <c r="S960" s="93"/>
      <c r="T960" s="93"/>
      <c r="U960" s="93"/>
      <c r="V960" s="93"/>
      <c r="W960" s="93"/>
      <c r="X960" s="93"/>
      <c r="Y960" s="93"/>
      <c r="Z960" s="93"/>
    </row>
    <row r="961" ht="12.75" customHeight="1">
      <c r="A961" s="93"/>
      <c r="B961" s="93"/>
      <c r="C961" s="93"/>
      <c r="D961" s="93"/>
      <c r="E961" s="93"/>
      <c r="F961" s="93"/>
      <c r="G961" s="93"/>
      <c r="H961" s="93"/>
      <c r="I961" s="93"/>
      <c r="J961" s="93"/>
      <c r="K961" s="93"/>
      <c r="L961" s="93"/>
      <c r="M961" s="93"/>
      <c r="N961" s="93"/>
      <c r="O961" s="93"/>
      <c r="P961" s="93"/>
      <c r="Q961" s="93"/>
      <c r="R961" s="93"/>
      <c r="S961" s="93"/>
      <c r="T961" s="93"/>
      <c r="U961" s="93"/>
      <c r="V961" s="93"/>
      <c r="W961" s="93"/>
      <c r="X961" s="93"/>
      <c r="Y961" s="93"/>
      <c r="Z961" s="93"/>
    </row>
    <row r="962" ht="12.75" customHeight="1">
      <c r="A962" s="93"/>
      <c r="B962" s="93"/>
      <c r="C962" s="93"/>
      <c r="D962" s="93"/>
      <c r="E962" s="93"/>
      <c r="F962" s="93"/>
      <c r="G962" s="93"/>
      <c r="H962" s="93"/>
      <c r="I962" s="93"/>
      <c r="J962" s="93"/>
      <c r="K962" s="93"/>
      <c r="L962" s="93"/>
      <c r="M962" s="93"/>
      <c r="N962" s="93"/>
      <c r="O962" s="93"/>
      <c r="P962" s="93"/>
      <c r="Q962" s="93"/>
      <c r="R962" s="93"/>
      <c r="S962" s="93"/>
      <c r="T962" s="93"/>
      <c r="U962" s="93"/>
      <c r="V962" s="93"/>
      <c r="W962" s="93"/>
      <c r="X962" s="93"/>
      <c r="Y962" s="93"/>
      <c r="Z962" s="93"/>
    </row>
    <row r="963" ht="12.75" customHeight="1">
      <c r="A963" s="93"/>
      <c r="B963" s="93"/>
      <c r="C963" s="93"/>
      <c r="D963" s="93"/>
      <c r="E963" s="93"/>
      <c r="F963" s="93"/>
      <c r="G963" s="93"/>
      <c r="H963" s="93"/>
      <c r="I963" s="93"/>
      <c r="J963" s="93"/>
      <c r="K963" s="93"/>
      <c r="L963" s="93"/>
      <c r="M963" s="93"/>
      <c r="N963" s="93"/>
      <c r="O963" s="93"/>
      <c r="P963" s="93"/>
      <c r="Q963" s="93"/>
      <c r="R963" s="93"/>
      <c r="S963" s="93"/>
      <c r="T963" s="93"/>
      <c r="U963" s="93"/>
      <c r="V963" s="93"/>
      <c r="W963" s="93"/>
      <c r="X963" s="93"/>
      <c r="Y963" s="93"/>
      <c r="Z963" s="93"/>
    </row>
    <row r="964" ht="12.75" customHeight="1">
      <c r="A964" s="93"/>
      <c r="B964" s="93"/>
      <c r="C964" s="93"/>
      <c r="D964" s="93"/>
      <c r="E964" s="93"/>
      <c r="F964" s="93"/>
      <c r="G964" s="93"/>
      <c r="H964" s="93"/>
      <c r="I964" s="93"/>
      <c r="J964" s="93"/>
      <c r="K964" s="93"/>
      <c r="L964" s="93"/>
      <c r="M964" s="93"/>
      <c r="N964" s="93"/>
      <c r="O964" s="93"/>
      <c r="P964" s="93"/>
      <c r="Q964" s="93"/>
      <c r="R964" s="93"/>
      <c r="S964" s="93"/>
      <c r="T964" s="93"/>
      <c r="U964" s="93"/>
      <c r="V964" s="93"/>
      <c r="W964" s="93"/>
      <c r="X964" s="93"/>
      <c r="Y964" s="93"/>
      <c r="Z964" s="93"/>
    </row>
    <row r="965" ht="12.75" customHeight="1">
      <c r="A965" s="93"/>
      <c r="B965" s="93"/>
      <c r="C965" s="93"/>
      <c r="D965" s="93"/>
      <c r="E965" s="93"/>
      <c r="F965" s="93"/>
      <c r="G965" s="93"/>
      <c r="H965" s="93"/>
      <c r="I965" s="93"/>
      <c r="J965" s="93"/>
      <c r="K965" s="93"/>
      <c r="L965" s="93"/>
      <c r="M965" s="93"/>
      <c r="N965" s="93"/>
      <c r="O965" s="93"/>
      <c r="P965" s="93"/>
      <c r="Q965" s="93"/>
      <c r="R965" s="93"/>
      <c r="S965" s="93"/>
      <c r="T965" s="93"/>
      <c r="U965" s="93"/>
      <c r="V965" s="93"/>
      <c r="W965" s="93"/>
      <c r="X965" s="93"/>
      <c r="Y965" s="93"/>
      <c r="Z965" s="93"/>
    </row>
    <row r="966" ht="12.75" customHeight="1">
      <c r="A966" s="93"/>
      <c r="B966" s="93"/>
      <c r="C966" s="93"/>
      <c r="D966" s="93"/>
      <c r="E966" s="93"/>
      <c r="F966" s="93"/>
      <c r="G966" s="93"/>
      <c r="H966" s="93"/>
      <c r="I966" s="93"/>
      <c r="J966" s="93"/>
      <c r="K966" s="93"/>
      <c r="L966" s="93"/>
      <c r="M966" s="93"/>
      <c r="N966" s="93"/>
      <c r="O966" s="93"/>
      <c r="P966" s="93"/>
      <c r="Q966" s="93"/>
      <c r="R966" s="93"/>
      <c r="S966" s="93"/>
      <c r="T966" s="93"/>
      <c r="U966" s="93"/>
      <c r="V966" s="93"/>
      <c r="W966" s="93"/>
      <c r="X966" s="93"/>
      <c r="Y966" s="93"/>
      <c r="Z966" s="93"/>
    </row>
    <row r="967" ht="12.75" customHeight="1">
      <c r="A967" s="93"/>
      <c r="B967" s="93"/>
      <c r="C967" s="93"/>
      <c r="D967" s="93"/>
      <c r="E967" s="93"/>
      <c r="F967" s="93"/>
      <c r="G967" s="93"/>
      <c r="H967" s="93"/>
      <c r="I967" s="93"/>
      <c r="J967" s="93"/>
      <c r="K967" s="93"/>
      <c r="L967" s="93"/>
      <c r="M967" s="93"/>
      <c r="N967" s="93"/>
      <c r="O967" s="93"/>
      <c r="P967" s="93"/>
      <c r="Q967" s="93"/>
      <c r="R967" s="93"/>
      <c r="S967" s="93"/>
      <c r="T967" s="93"/>
      <c r="U967" s="93"/>
      <c r="V967" s="93"/>
      <c r="W967" s="93"/>
      <c r="X967" s="93"/>
      <c r="Y967" s="93"/>
      <c r="Z967" s="93"/>
    </row>
    <row r="968" ht="12.75" customHeight="1">
      <c r="A968" s="93"/>
      <c r="B968" s="93"/>
      <c r="C968" s="93"/>
      <c r="D968" s="93"/>
      <c r="E968" s="93"/>
      <c r="F968" s="93"/>
      <c r="G968" s="93"/>
      <c r="H968" s="93"/>
      <c r="I968" s="93"/>
      <c r="J968" s="93"/>
      <c r="K968" s="93"/>
      <c r="L968" s="93"/>
      <c r="M968" s="93"/>
      <c r="N968" s="93"/>
      <c r="O968" s="93"/>
      <c r="P968" s="93"/>
      <c r="Q968" s="93"/>
      <c r="R968" s="93"/>
      <c r="S968" s="93"/>
      <c r="T968" s="93"/>
      <c r="U968" s="93"/>
      <c r="V968" s="93"/>
      <c r="W968" s="93"/>
      <c r="X968" s="93"/>
      <c r="Y968" s="93"/>
      <c r="Z968" s="93"/>
    </row>
    <row r="969" ht="12.75" customHeight="1">
      <c r="A969" s="93"/>
      <c r="B969" s="93"/>
      <c r="C969" s="93"/>
      <c r="D969" s="93"/>
      <c r="E969" s="93"/>
      <c r="F969" s="93"/>
      <c r="G969" s="93"/>
      <c r="H969" s="93"/>
      <c r="I969" s="93"/>
      <c r="J969" s="93"/>
      <c r="K969" s="93"/>
      <c r="L969" s="93"/>
      <c r="M969" s="93"/>
      <c r="N969" s="93"/>
      <c r="O969" s="93"/>
      <c r="P969" s="93"/>
      <c r="Q969" s="93"/>
      <c r="R969" s="93"/>
      <c r="S969" s="93"/>
      <c r="T969" s="93"/>
      <c r="U969" s="93"/>
      <c r="V969" s="93"/>
      <c r="W969" s="93"/>
      <c r="X969" s="93"/>
      <c r="Y969" s="93"/>
      <c r="Z969" s="93"/>
    </row>
    <row r="970" ht="12.75" customHeight="1">
      <c r="A970" s="93"/>
      <c r="B970" s="93"/>
      <c r="C970" s="93"/>
      <c r="D970" s="93"/>
      <c r="E970" s="93"/>
      <c r="F970" s="93"/>
      <c r="G970" s="93"/>
      <c r="H970" s="93"/>
      <c r="I970" s="93"/>
      <c r="J970" s="93"/>
      <c r="K970" s="93"/>
      <c r="L970" s="93"/>
      <c r="M970" s="93"/>
      <c r="N970" s="93"/>
      <c r="O970" s="93"/>
      <c r="P970" s="93"/>
      <c r="Q970" s="93"/>
      <c r="R970" s="93"/>
      <c r="S970" s="93"/>
      <c r="T970" s="93"/>
      <c r="U970" s="93"/>
      <c r="V970" s="93"/>
      <c r="W970" s="93"/>
      <c r="X970" s="93"/>
      <c r="Y970" s="93"/>
      <c r="Z970" s="93"/>
    </row>
    <row r="971" ht="12.75" customHeight="1">
      <c r="A971" s="93"/>
      <c r="B971" s="93"/>
      <c r="C971" s="93"/>
      <c r="D971" s="93"/>
      <c r="E971" s="93"/>
      <c r="F971" s="93"/>
      <c r="G971" s="93"/>
      <c r="H971" s="93"/>
      <c r="I971" s="93"/>
      <c r="J971" s="93"/>
      <c r="K971" s="93"/>
      <c r="L971" s="93"/>
      <c r="M971" s="93"/>
      <c r="N971" s="93"/>
      <c r="O971" s="93"/>
      <c r="P971" s="93"/>
      <c r="Q971" s="93"/>
      <c r="R971" s="93"/>
      <c r="S971" s="93"/>
      <c r="T971" s="93"/>
      <c r="U971" s="93"/>
      <c r="V971" s="93"/>
      <c r="W971" s="93"/>
      <c r="X971" s="93"/>
      <c r="Y971" s="93"/>
      <c r="Z971" s="93"/>
    </row>
    <row r="972" ht="12.75" customHeight="1">
      <c r="A972" s="93"/>
      <c r="B972" s="93"/>
      <c r="C972" s="93"/>
      <c r="D972" s="93"/>
      <c r="E972" s="93"/>
      <c r="F972" s="93"/>
      <c r="G972" s="93"/>
      <c r="H972" s="93"/>
      <c r="I972" s="93"/>
      <c r="J972" s="93"/>
      <c r="K972" s="93"/>
      <c r="L972" s="93"/>
      <c r="M972" s="93"/>
      <c r="N972" s="93"/>
      <c r="O972" s="93"/>
      <c r="P972" s="93"/>
      <c r="Q972" s="93"/>
      <c r="R972" s="93"/>
      <c r="S972" s="93"/>
      <c r="T972" s="93"/>
      <c r="U972" s="93"/>
      <c r="V972" s="93"/>
      <c r="W972" s="93"/>
      <c r="X972" s="93"/>
      <c r="Y972" s="93"/>
      <c r="Z972" s="93"/>
    </row>
    <row r="973" ht="12.75" customHeight="1">
      <c r="A973" s="93"/>
      <c r="B973" s="93"/>
      <c r="C973" s="93"/>
      <c r="D973" s="93"/>
      <c r="E973" s="93"/>
      <c r="F973" s="93"/>
      <c r="G973" s="93"/>
      <c r="H973" s="93"/>
      <c r="I973" s="93"/>
      <c r="J973" s="93"/>
      <c r="K973" s="93"/>
      <c r="L973" s="93"/>
      <c r="M973" s="93"/>
      <c r="N973" s="93"/>
      <c r="O973" s="93"/>
      <c r="P973" s="93"/>
      <c r="Q973" s="93"/>
      <c r="R973" s="93"/>
      <c r="S973" s="93"/>
      <c r="T973" s="93"/>
      <c r="U973" s="93"/>
      <c r="V973" s="93"/>
      <c r="W973" s="93"/>
      <c r="X973" s="93"/>
      <c r="Y973" s="93"/>
      <c r="Z973" s="93"/>
    </row>
    <row r="974" ht="12.75" customHeight="1">
      <c r="A974" s="93"/>
      <c r="B974" s="93"/>
      <c r="C974" s="93"/>
      <c r="D974" s="93"/>
      <c r="E974" s="93"/>
      <c r="F974" s="93"/>
      <c r="G974" s="93"/>
      <c r="H974" s="93"/>
      <c r="I974" s="93"/>
      <c r="J974" s="93"/>
      <c r="K974" s="93"/>
      <c r="L974" s="93"/>
      <c r="M974" s="93"/>
      <c r="N974" s="93"/>
      <c r="O974" s="93"/>
      <c r="P974" s="93"/>
      <c r="Q974" s="93"/>
      <c r="R974" s="93"/>
      <c r="S974" s="93"/>
      <c r="T974" s="93"/>
      <c r="U974" s="93"/>
      <c r="V974" s="93"/>
      <c r="W974" s="93"/>
      <c r="X974" s="93"/>
      <c r="Y974" s="93"/>
      <c r="Z974" s="93"/>
    </row>
    <row r="975" ht="12.75" customHeight="1">
      <c r="A975" s="93"/>
      <c r="B975" s="93"/>
      <c r="C975" s="93"/>
      <c r="D975" s="93"/>
      <c r="E975" s="93"/>
      <c r="F975" s="93"/>
      <c r="G975" s="93"/>
      <c r="H975" s="93"/>
      <c r="I975" s="93"/>
      <c r="J975" s="93"/>
      <c r="K975" s="93"/>
      <c r="L975" s="93"/>
      <c r="M975" s="93"/>
      <c r="N975" s="93"/>
      <c r="O975" s="93"/>
      <c r="P975" s="93"/>
      <c r="Q975" s="93"/>
      <c r="R975" s="93"/>
      <c r="S975" s="93"/>
      <c r="T975" s="93"/>
      <c r="U975" s="93"/>
      <c r="V975" s="93"/>
      <c r="W975" s="93"/>
      <c r="X975" s="93"/>
      <c r="Y975" s="93"/>
      <c r="Z975" s="93"/>
    </row>
    <row r="976" ht="12.75" customHeight="1">
      <c r="A976" s="93"/>
      <c r="B976" s="93"/>
      <c r="C976" s="93"/>
      <c r="D976" s="93"/>
      <c r="E976" s="93"/>
      <c r="F976" s="93"/>
      <c r="G976" s="93"/>
      <c r="H976" s="93"/>
      <c r="I976" s="93"/>
      <c r="J976" s="93"/>
      <c r="K976" s="93"/>
      <c r="L976" s="93"/>
      <c r="M976" s="93"/>
      <c r="N976" s="93"/>
      <c r="O976" s="93"/>
      <c r="P976" s="93"/>
      <c r="Q976" s="93"/>
      <c r="R976" s="93"/>
      <c r="S976" s="93"/>
      <c r="T976" s="93"/>
      <c r="U976" s="93"/>
      <c r="V976" s="93"/>
      <c r="W976" s="93"/>
      <c r="X976" s="93"/>
      <c r="Y976" s="93"/>
      <c r="Z976" s="93"/>
    </row>
    <row r="977" ht="12.75" customHeight="1">
      <c r="A977" s="93"/>
      <c r="B977" s="93"/>
      <c r="C977" s="93"/>
      <c r="D977" s="93"/>
      <c r="E977" s="93"/>
      <c r="F977" s="93"/>
      <c r="G977" s="93"/>
      <c r="H977" s="93"/>
      <c r="I977" s="93"/>
      <c r="J977" s="93"/>
      <c r="K977" s="93"/>
      <c r="L977" s="93"/>
      <c r="M977" s="93"/>
      <c r="N977" s="93"/>
      <c r="O977" s="93"/>
      <c r="P977" s="93"/>
      <c r="Q977" s="93"/>
      <c r="R977" s="93"/>
      <c r="S977" s="93"/>
      <c r="T977" s="93"/>
      <c r="U977" s="93"/>
      <c r="V977" s="93"/>
      <c r="W977" s="93"/>
      <c r="X977" s="93"/>
      <c r="Y977" s="93"/>
      <c r="Z977" s="93"/>
    </row>
    <row r="978" ht="12.75" customHeight="1">
      <c r="A978" s="93"/>
      <c r="B978" s="93"/>
      <c r="C978" s="93"/>
      <c r="D978" s="93"/>
      <c r="E978" s="93"/>
      <c r="F978" s="93"/>
      <c r="G978" s="93"/>
      <c r="H978" s="93"/>
      <c r="I978" s="93"/>
      <c r="J978" s="93"/>
      <c r="K978" s="93"/>
      <c r="L978" s="93"/>
      <c r="M978" s="93"/>
      <c r="N978" s="93"/>
      <c r="O978" s="93"/>
      <c r="P978" s="93"/>
      <c r="Q978" s="93"/>
      <c r="R978" s="93"/>
      <c r="S978" s="93"/>
      <c r="T978" s="93"/>
      <c r="U978" s="93"/>
      <c r="V978" s="93"/>
      <c r="W978" s="93"/>
      <c r="X978" s="93"/>
      <c r="Y978" s="93"/>
      <c r="Z978" s="93"/>
    </row>
    <row r="979" ht="12.75" customHeight="1">
      <c r="A979" s="93"/>
      <c r="B979" s="93"/>
      <c r="C979" s="93"/>
      <c r="D979" s="93"/>
      <c r="E979" s="93"/>
      <c r="F979" s="93"/>
      <c r="G979" s="93"/>
      <c r="H979" s="93"/>
      <c r="I979" s="93"/>
      <c r="J979" s="93"/>
      <c r="K979" s="93"/>
      <c r="L979" s="93"/>
      <c r="M979" s="93"/>
      <c r="N979" s="93"/>
      <c r="O979" s="93"/>
      <c r="P979" s="93"/>
      <c r="Q979" s="93"/>
      <c r="R979" s="93"/>
      <c r="S979" s="93"/>
      <c r="T979" s="93"/>
      <c r="U979" s="93"/>
      <c r="V979" s="93"/>
      <c r="W979" s="93"/>
      <c r="X979" s="93"/>
      <c r="Y979" s="93"/>
      <c r="Z979" s="93"/>
    </row>
    <row r="980" ht="12.75" customHeight="1">
      <c r="A980" s="93"/>
      <c r="B980" s="93"/>
      <c r="C980" s="93"/>
      <c r="D980" s="93"/>
      <c r="E980" s="93"/>
      <c r="F980" s="93"/>
      <c r="G980" s="93"/>
      <c r="H980" s="93"/>
      <c r="I980" s="93"/>
      <c r="J980" s="93"/>
      <c r="K980" s="93"/>
      <c r="L980" s="93"/>
      <c r="M980" s="93"/>
      <c r="N980" s="93"/>
      <c r="O980" s="93"/>
      <c r="P980" s="93"/>
      <c r="Q980" s="93"/>
      <c r="R980" s="93"/>
      <c r="S980" s="93"/>
      <c r="T980" s="93"/>
      <c r="U980" s="93"/>
      <c r="V980" s="93"/>
      <c r="W980" s="93"/>
      <c r="X980" s="93"/>
      <c r="Y980" s="93"/>
      <c r="Z980" s="93"/>
    </row>
    <row r="981" ht="12.75" customHeight="1">
      <c r="A981" s="93"/>
      <c r="B981" s="93"/>
      <c r="C981" s="93"/>
      <c r="D981" s="93"/>
      <c r="E981" s="93"/>
      <c r="F981" s="93"/>
      <c r="G981" s="93"/>
      <c r="H981" s="93"/>
      <c r="I981" s="93"/>
      <c r="J981" s="93"/>
      <c r="K981" s="93"/>
      <c r="L981" s="93"/>
      <c r="M981" s="93"/>
      <c r="N981" s="93"/>
      <c r="O981" s="93"/>
      <c r="P981" s="93"/>
      <c r="Q981" s="93"/>
      <c r="R981" s="93"/>
      <c r="S981" s="93"/>
      <c r="T981" s="93"/>
      <c r="U981" s="93"/>
      <c r="V981" s="93"/>
      <c r="W981" s="93"/>
      <c r="X981" s="93"/>
      <c r="Y981" s="93"/>
      <c r="Z981" s="93"/>
    </row>
    <row r="982" ht="12.75" customHeight="1">
      <c r="A982" s="93"/>
      <c r="B982" s="93"/>
      <c r="C982" s="93"/>
      <c r="D982" s="93"/>
      <c r="E982" s="93"/>
      <c r="F982" s="93"/>
      <c r="G982" s="93"/>
      <c r="H982" s="93"/>
      <c r="I982" s="93"/>
      <c r="J982" s="93"/>
      <c r="K982" s="93"/>
      <c r="L982" s="93"/>
      <c r="M982" s="93"/>
      <c r="N982" s="93"/>
      <c r="O982" s="93"/>
      <c r="P982" s="93"/>
      <c r="Q982" s="93"/>
      <c r="R982" s="93"/>
      <c r="S982" s="93"/>
      <c r="T982" s="93"/>
      <c r="U982" s="93"/>
      <c r="V982" s="93"/>
      <c r="W982" s="93"/>
      <c r="X982" s="93"/>
      <c r="Y982" s="93"/>
      <c r="Z982" s="93"/>
    </row>
    <row r="983" ht="12.75" customHeight="1">
      <c r="A983" s="93"/>
      <c r="B983" s="93"/>
      <c r="C983" s="93"/>
      <c r="D983" s="93"/>
      <c r="E983" s="93"/>
      <c r="F983" s="93"/>
      <c r="G983" s="93"/>
      <c r="H983" s="93"/>
      <c r="I983" s="93"/>
      <c r="J983" s="93"/>
      <c r="K983" s="93"/>
      <c r="L983" s="93"/>
      <c r="M983" s="93"/>
      <c r="N983" s="93"/>
      <c r="O983" s="93"/>
      <c r="P983" s="93"/>
      <c r="Q983" s="93"/>
      <c r="R983" s="93"/>
      <c r="S983" s="93"/>
      <c r="T983" s="93"/>
      <c r="U983" s="93"/>
      <c r="V983" s="93"/>
      <c r="W983" s="93"/>
      <c r="X983" s="93"/>
      <c r="Y983" s="93"/>
      <c r="Z983" s="93"/>
    </row>
    <row r="984" ht="12.75" customHeight="1">
      <c r="A984" s="93"/>
      <c r="B984" s="93"/>
      <c r="C984" s="93"/>
      <c r="D984" s="93"/>
      <c r="E984" s="93"/>
      <c r="F984" s="93"/>
      <c r="G984" s="93"/>
      <c r="H984" s="93"/>
      <c r="I984" s="93"/>
      <c r="J984" s="93"/>
      <c r="K984" s="93"/>
      <c r="L984" s="93"/>
      <c r="M984" s="93"/>
      <c r="N984" s="93"/>
      <c r="O984" s="93"/>
      <c r="P984" s="93"/>
      <c r="Q984" s="93"/>
      <c r="R984" s="93"/>
      <c r="S984" s="93"/>
      <c r="T984" s="93"/>
      <c r="U984" s="93"/>
      <c r="V984" s="93"/>
      <c r="W984" s="93"/>
      <c r="X984" s="93"/>
      <c r="Y984" s="93"/>
      <c r="Z984" s="93"/>
    </row>
    <row r="985" ht="12.75" customHeight="1">
      <c r="A985" s="93"/>
      <c r="B985" s="93"/>
      <c r="C985" s="93"/>
      <c r="D985" s="93"/>
      <c r="E985" s="93"/>
      <c r="F985" s="93"/>
      <c r="G985" s="93"/>
      <c r="H985" s="93"/>
      <c r="I985" s="93"/>
      <c r="J985" s="93"/>
      <c r="K985" s="93"/>
      <c r="L985" s="93"/>
      <c r="M985" s="93"/>
      <c r="N985" s="93"/>
      <c r="O985" s="93"/>
      <c r="P985" s="93"/>
      <c r="Q985" s="93"/>
      <c r="R985" s="93"/>
      <c r="S985" s="93"/>
      <c r="T985" s="93"/>
      <c r="U985" s="93"/>
      <c r="V985" s="93"/>
      <c r="W985" s="93"/>
      <c r="X985" s="93"/>
      <c r="Y985" s="93"/>
      <c r="Z985" s="93"/>
    </row>
    <row r="986" ht="12.75" customHeight="1">
      <c r="A986" s="93"/>
      <c r="B986" s="93"/>
      <c r="C986" s="93"/>
      <c r="D986" s="93"/>
      <c r="E986" s="93"/>
      <c r="F986" s="93"/>
      <c r="G986" s="93"/>
      <c r="H986" s="93"/>
      <c r="I986" s="93"/>
      <c r="J986" s="93"/>
      <c r="K986" s="93"/>
      <c r="L986" s="93"/>
      <c r="M986" s="93"/>
      <c r="N986" s="93"/>
      <c r="O986" s="93"/>
      <c r="P986" s="93"/>
      <c r="Q986" s="93"/>
      <c r="R986" s="93"/>
      <c r="S986" s="93"/>
      <c r="T986" s="93"/>
      <c r="U986" s="93"/>
      <c r="V986" s="93"/>
      <c r="W986" s="93"/>
      <c r="X986" s="93"/>
      <c r="Y986" s="93"/>
      <c r="Z986" s="93"/>
    </row>
    <row r="987" ht="12.75" customHeight="1">
      <c r="A987" s="93"/>
      <c r="B987" s="93"/>
      <c r="C987" s="93"/>
      <c r="D987" s="93"/>
      <c r="E987" s="93"/>
      <c r="F987" s="93"/>
      <c r="G987" s="93"/>
      <c r="H987" s="93"/>
      <c r="I987" s="93"/>
      <c r="J987" s="93"/>
      <c r="K987" s="93"/>
      <c r="L987" s="93"/>
      <c r="M987" s="93"/>
      <c r="N987" s="93"/>
      <c r="O987" s="93"/>
      <c r="P987" s="93"/>
      <c r="Q987" s="93"/>
      <c r="R987" s="93"/>
      <c r="S987" s="93"/>
      <c r="T987" s="93"/>
      <c r="U987" s="93"/>
      <c r="V987" s="93"/>
      <c r="W987" s="93"/>
      <c r="X987" s="93"/>
      <c r="Y987" s="93"/>
      <c r="Z987" s="93"/>
    </row>
    <row r="988" ht="12.75" customHeight="1">
      <c r="A988" s="93"/>
      <c r="B988" s="93"/>
      <c r="C988" s="93"/>
      <c r="D988" s="93"/>
      <c r="E988" s="93"/>
      <c r="F988" s="93"/>
      <c r="G988" s="93"/>
      <c r="H988" s="93"/>
      <c r="I988" s="93"/>
      <c r="J988" s="93"/>
      <c r="K988" s="93"/>
      <c r="L988" s="93"/>
      <c r="M988" s="93"/>
      <c r="N988" s="93"/>
      <c r="O988" s="93"/>
      <c r="P988" s="93"/>
      <c r="Q988" s="93"/>
      <c r="R988" s="93"/>
      <c r="S988" s="93"/>
      <c r="T988" s="93"/>
      <c r="U988" s="93"/>
      <c r="V988" s="93"/>
      <c r="W988" s="93"/>
      <c r="X988" s="93"/>
      <c r="Y988" s="93"/>
      <c r="Z988" s="93"/>
    </row>
    <row r="989" ht="12.75" customHeight="1">
      <c r="A989" s="93"/>
      <c r="B989" s="93"/>
      <c r="C989" s="93"/>
      <c r="D989" s="93"/>
      <c r="E989" s="93"/>
      <c r="F989" s="93"/>
      <c r="G989" s="93"/>
      <c r="H989" s="93"/>
      <c r="I989" s="93"/>
      <c r="J989" s="93"/>
      <c r="K989" s="93"/>
      <c r="L989" s="93"/>
      <c r="M989" s="93"/>
      <c r="N989" s="93"/>
      <c r="O989" s="93"/>
      <c r="P989" s="93"/>
      <c r="Q989" s="93"/>
      <c r="R989" s="93"/>
      <c r="S989" s="93"/>
      <c r="T989" s="93"/>
      <c r="U989" s="93"/>
      <c r="V989" s="93"/>
      <c r="W989" s="93"/>
      <c r="X989" s="93"/>
      <c r="Y989" s="93"/>
      <c r="Z989" s="93"/>
    </row>
    <row r="990" ht="12.75" customHeight="1">
      <c r="A990" s="93"/>
      <c r="B990" s="93"/>
      <c r="C990" s="93"/>
      <c r="D990" s="93"/>
      <c r="E990" s="93"/>
      <c r="F990" s="93"/>
      <c r="G990" s="93"/>
      <c r="H990" s="93"/>
      <c r="I990" s="93"/>
      <c r="J990" s="93"/>
      <c r="K990" s="93"/>
      <c r="L990" s="93"/>
      <c r="M990" s="93"/>
      <c r="N990" s="93"/>
      <c r="O990" s="93"/>
      <c r="P990" s="93"/>
      <c r="Q990" s="93"/>
      <c r="R990" s="93"/>
      <c r="S990" s="93"/>
      <c r="T990" s="93"/>
      <c r="U990" s="93"/>
      <c r="V990" s="93"/>
      <c r="W990" s="93"/>
      <c r="X990" s="93"/>
      <c r="Y990" s="93"/>
      <c r="Z990" s="93"/>
    </row>
    <row r="991" ht="12.75" customHeight="1">
      <c r="A991" s="93"/>
      <c r="B991" s="93"/>
      <c r="C991" s="93"/>
      <c r="D991" s="93"/>
      <c r="E991" s="93"/>
      <c r="F991" s="93"/>
      <c r="G991" s="93"/>
      <c r="H991" s="93"/>
      <c r="I991" s="93"/>
      <c r="J991" s="93"/>
      <c r="K991" s="93"/>
      <c r="L991" s="93"/>
      <c r="M991" s="93"/>
      <c r="N991" s="93"/>
      <c r="O991" s="93"/>
      <c r="P991" s="93"/>
      <c r="Q991" s="93"/>
      <c r="R991" s="93"/>
      <c r="S991" s="93"/>
      <c r="T991" s="93"/>
      <c r="U991" s="93"/>
      <c r="V991" s="93"/>
      <c r="W991" s="93"/>
      <c r="X991" s="93"/>
      <c r="Y991" s="93"/>
      <c r="Z991" s="93"/>
    </row>
    <row r="992" ht="12.75" customHeight="1">
      <c r="A992" s="93"/>
      <c r="B992" s="93"/>
      <c r="C992" s="93"/>
      <c r="D992" s="93"/>
      <c r="E992" s="93"/>
      <c r="F992" s="93"/>
      <c r="G992" s="93"/>
      <c r="H992" s="93"/>
      <c r="I992" s="93"/>
      <c r="J992" s="93"/>
      <c r="K992" s="93"/>
      <c r="L992" s="93"/>
      <c r="M992" s="93"/>
      <c r="N992" s="93"/>
      <c r="O992" s="93"/>
      <c r="P992" s="93"/>
      <c r="Q992" s="93"/>
      <c r="R992" s="93"/>
      <c r="S992" s="93"/>
      <c r="T992" s="93"/>
      <c r="U992" s="93"/>
      <c r="V992" s="93"/>
      <c r="W992" s="93"/>
      <c r="X992" s="93"/>
      <c r="Y992" s="93"/>
      <c r="Z992" s="93"/>
    </row>
    <row r="993" ht="12.75" customHeight="1">
      <c r="A993" s="93"/>
      <c r="B993" s="93"/>
      <c r="C993" s="93"/>
      <c r="D993" s="93"/>
      <c r="E993" s="93"/>
      <c r="F993" s="93"/>
      <c r="G993" s="93"/>
      <c r="H993" s="93"/>
      <c r="I993" s="93"/>
      <c r="J993" s="93"/>
      <c r="K993" s="93"/>
      <c r="L993" s="93"/>
      <c r="M993" s="93"/>
      <c r="N993" s="93"/>
      <c r="O993" s="93"/>
      <c r="P993" s="93"/>
      <c r="Q993" s="93"/>
      <c r="R993" s="93"/>
      <c r="S993" s="93"/>
      <c r="T993" s="93"/>
      <c r="U993" s="93"/>
      <c r="V993" s="93"/>
      <c r="W993" s="93"/>
      <c r="X993" s="93"/>
      <c r="Y993" s="93"/>
      <c r="Z993" s="93"/>
    </row>
    <row r="994" ht="12.75" customHeight="1">
      <c r="A994" s="93"/>
      <c r="B994" s="93"/>
      <c r="C994" s="93"/>
      <c r="D994" s="93"/>
      <c r="E994" s="93"/>
      <c r="F994" s="93"/>
      <c r="G994" s="93"/>
      <c r="H994" s="93"/>
      <c r="I994" s="93"/>
      <c r="J994" s="93"/>
      <c r="K994" s="93"/>
      <c r="L994" s="93"/>
      <c r="M994" s="93"/>
      <c r="N994" s="93"/>
      <c r="O994" s="93"/>
      <c r="P994" s="93"/>
      <c r="Q994" s="93"/>
      <c r="R994" s="93"/>
      <c r="S994" s="93"/>
      <c r="T994" s="93"/>
      <c r="U994" s="93"/>
      <c r="V994" s="93"/>
      <c r="W994" s="93"/>
      <c r="X994" s="93"/>
      <c r="Y994" s="93"/>
      <c r="Z994" s="93"/>
    </row>
    <row r="995" ht="12.75" customHeight="1">
      <c r="A995" s="93"/>
      <c r="B995" s="93"/>
      <c r="C995" s="93"/>
      <c r="D995" s="93"/>
      <c r="E995" s="93"/>
      <c r="F995" s="93"/>
      <c r="G995" s="93"/>
      <c r="H995" s="93"/>
      <c r="I995" s="93"/>
      <c r="J995" s="93"/>
      <c r="K995" s="93"/>
      <c r="L995" s="93"/>
      <c r="M995" s="93"/>
      <c r="N995" s="93"/>
      <c r="O995" s="93"/>
      <c r="P995" s="93"/>
      <c r="Q995" s="93"/>
      <c r="R995" s="93"/>
      <c r="S995" s="93"/>
      <c r="T995" s="93"/>
      <c r="U995" s="93"/>
      <c r="V995" s="93"/>
      <c r="W995" s="93"/>
      <c r="X995" s="93"/>
      <c r="Y995" s="93"/>
      <c r="Z995" s="93"/>
    </row>
    <row r="996" ht="12.75" customHeight="1">
      <c r="A996" s="93"/>
      <c r="B996" s="93"/>
      <c r="C996" s="93"/>
      <c r="D996" s="93"/>
      <c r="E996" s="93"/>
      <c r="F996" s="93"/>
      <c r="G996" s="93"/>
      <c r="H996" s="93"/>
      <c r="I996" s="93"/>
      <c r="J996" s="93"/>
      <c r="K996" s="93"/>
      <c r="L996" s="93"/>
      <c r="M996" s="93"/>
      <c r="N996" s="93"/>
      <c r="O996" s="93"/>
      <c r="P996" s="93"/>
      <c r="Q996" s="93"/>
      <c r="R996" s="93"/>
      <c r="S996" s="93"/>
      <c r="T996" s="93"/>
      <c r="U996" s="93"/>
      <c r="V996" s="93"/>
      <c r="W996" s="93"/>
      <c r="X996" s="93"/>
      <c r="Y996" s="93"/>
      <c r="Z996" s="93"/>
    </row>
    <row r="997" ht="12.75" customHeight="1">
      <c r="A997" s="93"/>
      <c r="B997" s="93"/>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row>
    <row r="998" ht="12.75" customHeight="1">
      <c r="A998" s="93"/>
      <c r="B998" s="93"/>
      <c r="C998" s="93"/>
      <c r="D998" s="93"/>
      <c r="E998" s="93"/>
      <c r="F998" s="93"/>
      <c r="G998" s="93"/>
      <c r="H998" s="93"/>
      <c r="I998" s="93"/>
      <c r="J998" s="93"/>
      <c r="K998" s="93"/>
      <c r="L998" s="93"/>
      <c r="M998" s="93"/>
      <c r="N998" s="93"/>
      <c r="O998" s="93"/>
      <c r="P998" s="93"/>
      <c r="Q998" s="93"/>
      <c r="R998" s="93"/>
      <c r="S998" s="93"/>
      <c r="T998" s="93"/>
      <c r="U998" s="93"/>
      <c r="V998" s="93"/>
      <c r="W998" s="93"/>
      <c r="X998" s="93"/>
      <c r="Y998" s="93"/>
      <c r="Z998" s="93"/>
    </row>
    <row r="999" ht="12.75" customHeight="1">
      <c r="A999" s="93"/>
      <c r="B999" s="93"/>
      <c r="C999" s="93"/>
      <c r="D999" s="93"/>
      <c r="E999" s="93"/>
      <c r="F999" s="93"/>
      <c r="G999" s="93"/>
      <c r="H999" s="93"/>
      <c r="I999" s="93"/>
      <c r="J999" s="93"/>
      <c r="K999" s="93"/>
      <c r="L999" s="93"/>
      <c r="M999" s="93"/>
      <c r="N999" s="93"/>
      <c r="O999" s="93"/>
      <c r="P999" s="93"/>
      <c r="Q999" s="93"/>
      <c r="R999" s="93"/>
      <c r="S999" s="93"/>
      <c r="T999" s="93"/>
      <c r="U999" s="93"/>
      <c r="V999" s="93"/>
      <c r="W999" s="93"/>
      <c r="X999" s="93"/>
      <c r="Y999" s="93"/>
      <c r="Z999" s="93"/>
    </row>
    <row r="1000" ht="12.75" customHeight="1">
      <c r="A1000" s="93"/>
      <c r="B1000" s="93"/>
      <c r="C1000" s="93"/>
      <c r="D1000" s="93"/>
      <c r="E1000" s="93"/>
      <c r="F1000" s="93"/>
      <c r="G1000" s="93"/>
      <c r="H1000" s="93"/>
      <c r="I1000" s="93"/>
      <c r="J1000" s="93"/>
      <c r="K1000" s="93"/>
      <c r="L1000" s="93"/>
      <c r="M1000" s="93"/>
      <c r="N1000" s="93"/>
      <c r="O1000" s="93"/>
      <c r="P1000" s="93"/>
      <c r="Q1000" s="93"/>
      <c r="R1000" s="93"/>
      <c r="S1000" s="93"/>
      <c r="T1000" s="93"/>
      <c r="U1000" s="93"/>
      <c r="V1000" s="93"/>
      <c r="W1000" s="93"/>
      <c r="X1000" s="93"/>
      <c r="Y1000" s="93"/>
      <c r="Z1000" s="93"/>
    </row>
  </sheetData>
  <mergeCells count="4">
    <mergeCell ref="A1:C1"/>
    <mergeCell ref="A2:C2"/>
    <mergeCell ref="A3:C3"/>
    <mergeCell ref="A4:C4"/>
  </mergeCells>
  <printOptions/>
  <pageMargins bottom="0.75" footer="0.0" header="0.0" left="0.7" right="0.7" top="0.75"/>
  <pageSetup orientation="landscape"/>
  <headerFooter>
    <oddHeader/>
    <oddFooter/>
  </headerFooter>
  <drawing r:id="rId1"/>
  <legacyDrawing r:id="rId2"/>
  <oleObjects>
    <oleObject progId="Equation.3" shapeId="1025" r:id="rId3"/>
    <oleObject progId="Equation.DSMT4" shapeId="1026" r:id="rId4"/>
  </oleObjec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5.57"/>
    <col customWidth="1" min="3" max="3" width="29.29"/>
  </cols>
  <sheetData>
    <row r="1">
      <c r="A1" s="1" t="s">
        <v>10</v>
      </c>
    </row>
    <row r="2">
      <c r="F2" s="1" t="s">
        <v>11</v>
      </c>
    </row>
    <row r="3">
      <c r="A3" s="1" t="s">
        <v>12</v>
      </c>
      <c r="B3" s="1">
        <v>120.0</v>
      </c>
    </row>
    <row r="4">
      <c r="A4" s="1" t="s">
        <v>13</v>
      </c>
      <c r="B4" s="1">
        <v>4.0</v>
      </c>
    </row>
    <row r="5">
      <c r="A5" s="1" t="s">
        <v>14</v>
      </c>
      <c r="B5" s="1">
        <v>30.0</v>
      </c>
    </row>
    <row r="6">
      <c r="A6" s="1" t="s">
        <v>9</v>
      </c>
      <c r="B6" s="1">
        <v>3.0</v>
      </c>
    </row>
    <row r="8">
      <c r="A8" s="3" t="s">
        <v>15</v>
      </c>
      <c r="B8" s="6">
        <f>B3/B4</f>
        <v>30</v>
      </c>
    </row>
    <row r="9">
      <c r="A9" s="1" t="s">
        <v>16</v>
      </c>
      <c r="B9" s="7">
        <v>3.175</v>
      </c>
    </row>
    <row r="10">
      <c r="A10" s="1" t="s">
        <v>17</v>
      </c>
      <c r="B10" s="1">
        <v>25.4</v>
      </c>
    </row>
    <row r="11">
      <c r="A11" s="3" t="s">
        <v>18</v>
      </c>
      <c r="B11" s="6">
        <f>B10/B9</f>
        <v>8</v>
      </c>
      <c r="C11" s="1" t="s">
        <v>19</v>
      </c>
    </row>
    <row r="12">
      <c r="A12" s="1" t="s">
        <v>20</v>
      </c>
      <c r="B12" s="7">
        <v>13.462</v>
      </c>
    </row>
    <row r="13">
      <c r="A13" s="3" t="s">
        <v>21</v>
      </c>
      <c r="B13" s="8">
        <f>B10/B12</f>
        <v>1.886792453</v>
      </c>
    </row>
    <row r="14">
      <c r="A14" s="1" t="s">
        <v>22</v>
      </c>
      <c r="B14" s="1">
        <v>0.05</v>
      </c>
      <c r="C14" s="1" t="s">
        <v>23</v>
      </c>
    </row>
    <row r="15">
      <c r="A15" s="1" t="s">
        <v>24</v>
      </c>
      <c r="B15" s="1">
        <v>0.06</v>
      </c>
    </row>
    <row r="17">
      <c r="A17" s="1" t="s">
        <v>25</v>
      </c>
    </row>
    <row r="18">
      <c r="A18" s="3" t="s">
        <v>26</v>
      </c>
      <c r="B18" s="9" t="str">
        <f>IF(((4.44822*B5)/B6)&gt;B8,"NO","YES")</f>
        <v>NO</v>
      </c>
    </row>
    <row r="19">
      <c r="A19" s="3" t="s">
        <v>27</v>
      </c>
      <c r="B19" s="8">
        <f>(B10-(B14*B12))/(B10+(B12*B14))</f>
        <v>0.9483682416</v>
      </c>
    </row>
    <row r="20">
      <c r="A20" s="3" t="s">
        <v>28</v>
      </c>
      <c r="B20" s="8">
        <f>(4*B15)+(2*PI()*(B10/1000))</f>
        <v>0.3995929068</v>
      </c>
    </row>
    <row r="24">
      <c r="A24" s="1" t="s">
        <v>29</v>
      </c>
    </row>
    <row r="25">
      <c r="A25" s="1" t="s">
        <v>30</v>
      </c>
    </row>
    <row r="26">
      <c r="A26" s="1" t="s">
        <v>31</v>
      </c>
      <c r="B26" s="10" t="s">
        <v>32</v>
      </c>
    </row>
    <row r="27">
      <c r="A27" s="1" t="s">
        <v>33</v>
      </c>
      <c r="B27" s="11" t="s">
        <v>34</v>
      </c>
    </row>
    <row r="28">
      <c r="A28" s="1" t="s">
        <v>35</v>
      </c>
    </row>
    <row r="29">
      <c r="A29" s="1" t="s">
        <v>31</v>
      </c>
      <c r="B29" s="12" t="s">
        <v>36</v>
      </c>
    </row>
    <row r="30">
      <c r="A30" s="1" t="s">
        <v>33</v>
      </c>
      <c r="B30" s="11" t="s">
        <v>37</v>
      </c>
    </row>
    <row r="31">
      <c r="A31" s="1" t="s">
        <v>38</v>
      </c>
      <c r="B31" s="13" t="s">
        <v>39</v>
      </c>
    </row>
    <row r="34">
      <c r="A34" s="1" t="s">
        <v>40</v>
      </c>
    </row>
    <row r="35">
      <c r="A35" s="1" t="s">
        <v>31</v>
      </c>
      <c r="B35" s="14" t="s">
        <v>41</v>
      </c>
    </row>
    <row r="36">
      <c r="A36" s="1" t="s">
        <v>33</v>
      </c>
      <c r="B36" s="15" t="s">
        <v>42</v>
      </c>
    </row>
    <row r="37">
      <c r="A37" s="1" t="s">
        <v>38</v>
      </c>
      <c r="B37" s="16" t="s">
        <v>43</v>
      </c>
    </row>
  </sheetData>
  <hyperlinks>
    <hyperlink r:id="rId1" ref="B26"/>
    <hyperlink r:id="rId2" ref="B27"/>
    <hyperlink r:id="rId3" ref="B29"/>
    <hyperlink r:id="rId4" ref="B30"/>
    <hyperlink r:id="rId5" ref="B31"/>
    <hyperlink r:id="rId6" ref="B35"/>
    <hyperlink r:id="rId7" ref="B36"/>
    <hyperlink r:id="rId8" ref="B37"/>
  </hyperlinks>
  <drawing r:id="rId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86"/>
    <col customWidth="1" min="2" max="26" width="10.0"/>
  </cols>
  <sheetData>
    <row r="1" ht="13.5" customHeight="1"/>
    <row r="2" ht="13.5" customHeight="1">
      <c r="A2" s="17" t="s">
        <v>44</v>
      </c>
      <c r="H2" s="18"/>
    </row>
    <row r="3" ht="13.5" customHeight="1">
      <c r="A3" s="19" t="s">
        <v>45</v>
      </c>
      <c r="B3" s="1">
        <v>6.35</v>
      </c>
      <c r="H3" s="18"/>
    </row>
    <row r="4" ht="13.5" customHeight="1">
      <c r="A4" s="19" t="s">
        <v>46</v>
      </c>
      <c r="B4" s="1">
        <v>31.75</v>
      </c>
    </row>
    <row r="5" ht="13.5" customHeight="1">
      <c r="A5" s="19" t="s">
        <v>47</v>
      </c>
      <c r="B5" s="17">
        <v>30.0</v>
      </c>
      <c r="C5" s="20">
        <f>PI()*B5/180</f>
        <v>0.5235987756</v>
      </c>
    </row>
    <row r="6" ht="13.5" customHeight="1">
      <c r="A6" s="19" t="s">
        <v>48</v>
      </c>
      <c r="B6" s="17">
        <v>0.3</v>
      </c>
    </row>
    <row r="7" ht="13.5" customHeight="1">
      <c r="A7" s="19" t="s">
        <v>49</v>
      </c>
      <c r="B7" s="17">
        <v>1.5</v>
      </c>
      <c r="G7" s="1" t="s">
        <v>50</v>
      </c>
    </row>
    <row r="8" ht="13.5" customHeight="1">
      <c r="A8" s="1" t="s">
        <v>51</v>
      </c>
      <c r="B8" s="2">
        <v>200.0</v>
      </c>
    </row>
    <row r="9" ht="13.5" customHeight="1">
      <c r="A9" s="1" t="s">
        <v>52</v>
      </c>
      <c r="B9" s="21">
        <f>PI()*(B4/1000)^4/64</f>
        <v>0.00000004988211017</v>
      </c>
    </row>
    <row r="10" ht="13.5" customHeight="1">
      <c r="A10" s="1" t="s">
        <v>53</v>
      </c>
      <c r="B10" s="1">
        <v>0.25</v>
      </c>
    </row>
    <row r="11" ht="13.5" customHeight="1"/>
    <row r="12" ht="13.5" customHeight="1">
      <c r="A12" s="17" t="s">
        <v>54</v>
      </c>
    </row>
    <row r="13" ht="13.5" customHeight="1">
      <c r="A13" s="19" t="s">
        <v>55</v>
      </c>
      <c r="B13" s="6">
        <v>2000.0</v>
      </c>
    </row>
    <row r="14" ht="13.5" customHeight="1">
      <c r="A14" s="19" t="s">
        <v>56</v>
      </c>
      <c r="B14" s="22">
        <f>B13*(B3/1000)/(2*PI())*(1+B6*PI()*(B4)/(B3))</f>
        <v>11.54626778</v>
      </c>
    </row>
    <row r="15" ht="13.5" customHeight="1">
      <c r="A15" s="1" t="s">
        <v>57</v>
      </c>
      <c r="B15" s="23">
        <f>(4*B13/(PI()*(B4/1000)^2))/10^6</f>
        <v>2.526112309</v>
      </c>
    </row>
    <row r="16" ht="13.5" customHeight="1">
      <c r="A16" s="1" t="s">
        <v>58</v>
      </c>
      <c r="B16" s="24" t="s">
        <v>59</v>
      </c>
    </row>
    <row r="17" ht="13.5" customHeight="1"/>
    <row r="18" ht="13.5" customHeight="1">
      <c r="A18" s="17" t="s">
        <v>60</v>
      </c>
      <c r="B18" s="25" t="str">
        <f>IF(B3&lt;2*PI()*(B4/2)*B6/COS(C5),"NO","YES")</f>
        <v>NO</v>
      </c>
    </row>
    <row r="19" ht="13.5" customHeight="1">
      <c r="A19" s="1" t="s">
        <v>61</v>
      </c>
      <c r="B19" s="26">
        <f>PI()^2*B8*B9*10^9/(B10^2)</f>
        <v>1575413.421</v>
      </c>
    </row>
    <row r="20" ht="13.5" customHeight="1"/>
    <row r="21" ht="13.5" customHeight="1">
      <c r="A21" s="17" t="s">
        <v>62</v>
      </c>
    </row>
    <row r="22" ht="13.5" customHeight="1">
      <c r="A22" s="19" t="s">
        <v>63</v>
      </c>
      <c r="B22" s="27">
        <v>38.1</v>
      </c>
    </row>
    <row r="23" ht="13.5" customHeight="1">
      <c r="A23" s="19" t="s">
        <v>64</v>
      </c>
      <c r="B23" s="28">
        <v>8.0</v>
      </c>
    </row>
    <row r="24" ht="13.5" customHeight="1">
      <c r="A24" s="19" t="s">
        <v>65</v>
      </c>
      <c r="B24" s="29">
        <f>B22/B3</f>
        <v>6</v>
      </c>
      <c r="D24" s="19" t="s">
        <v>66</v>
      </c>
    </row>
    <row r="25" ht="13.5" customHeight="1">
      <c r="A25" s="19" t="s">
        <v>67</v>
      </c>
      <c r="B25" s="30">
        <f>B23/(B22/1000*(B3/1000/(2*PI())+B6*B4/1000/2))</f>
        <v>36370.84421</v>
      </c>
      <c r="C25" s="30">
        <f>B25/175.126835</f>
        <v>207.6828729</v>
      </c>
    </row>
    <row r="26" ht="13.5" customHeight="1"/>
    <row r="27" ht="13.5" customHeight="1"/>
    <row r="28" ht="13.5" customHeight="1">
      <c r="A28" s="19" t="s">
        <v>68</v>
      </c>
    </row>
    <row r="29" ht="13.5" customHeight="1">
      <c r="A29" s="17" t="s">
        <v>69</v>
      </c>
    </row>
    <row r="30" ht="13.5" customHeight="1">
      <c r="A30" s="22" t="s">
        <v>70</v>
      </c>
    </row>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6.43"/>
    <col customWidth="1" min="2" max="3" width="10.86"/>
  </cols>
  <sheetData>
    <row r="2">
      <c r="A2" s="2" t="s">
        <v>71</v>
      </c>
    </row>
    <row r="3">
      <c r="A3" s="1" t="s">
        <v>72</v>
      </c>
      <c r="B3" s="1">
        <v>36371.0</v>
      </c>
    </row>
    <row r="4">
      <c r="A4" s="1" t="s">
        <v>73</v>
      </c>
      <c r="B4" s="7">
        <v>0.0381</v>
      </c>
    </row>
    <row r="5">
      <c r="A5" s="1" t="s">
        <v>74</v>
      </c>
      <c r="B5" s="23">
        <f>0.5*B3*B4^2</f>
        <v>26.39825366</v>
      </c>
    </row>
    <row r="7">
      <c r="A7" s="2" t="s">
        <v>75</v>
      </c>
    </row>
    <row r="8">
      <c r="A8" s="1" t="s">
        <v>76</v>
      </c>
      <c r="B8" s="1">
        <v>27.6</v>
      </c>
    </row>
    <row r="9">
      <c r="A9" s="1" t="s">
        <v>77</v>
      </c>
      <c r="B9" s="1">
        <v>10.0</v>
      </c>
    </row>
    <row r="11">
      <c r="A11" s="2" t="s">
        <v>78</v>
      </c>
    </row>
    <row r="12">
      <c r="A12" s="1" t="s">
        <v>79</v>
      </c>
      <c r="B12" s="1">
        <v>2000.0</v>
      </c>
    </row>
    <row r="13">
      <c r="A13" s="1" t="s">
        <v>80</v>
      </c>
      <c r="B13" s="5">
        <f>B12/(B8*10^6)*10^6</f>
        <v>72.46376812</v>
      </c>
    </row>
    <row r="14">
      <c r="A14" s="1" t="s">
        <v>81</v>
      </c>
      <c r="B14" s="23">
        <f>SQRT(B13/PI())</f>
        <v>4.802700676</v>
      </c>
    </row>
    <row r="15">
      <c r="A15" s="1" t="s">
        <v>82</v>
      </c>
      <c r="B15" s="31">
        <f>0.5*(B8*10^6)*(B13*10^(-6))*(0.01)</f>
        <v>10</v>
      </c>
      <c r="D15" s="1" t="s">
        <v>83</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6.29"/>
    <col customWidth="1" min="3" max="3" width="16.71"/>
    <col customWidth="1" min="4" max="4" width="24.14"/>
  </cols>
  <sheetData>
    <row r="1">
      <c r="A1" s="1" t="s">
        <v>84</v>
      </c>
      <c r="B1" s="32"/>
    </row>
    <row r="2">
      <c r="A2" s="1" t="s">
        <v>85</v>
      </c>
    </row>
    <row r="5">
      <c r="A5" s="1" t="s">
        <v>86</v>
      </c>
      <c r="B5" s="2" t="s">
        <v>87</v>
      </c>
      <c r="C5" s="14" t="s">
        <v>88</v>
      </c>
    </row>
    <row r="6">
      <c r="A6" s="1" t="s">
        <v>89</v>
      </c>
      <c r="D6" s="1" t="s">
        <v>90</v>
      </c>
    </row>
    <row r="29">
      <c r="A29" s="1" t="s">
        <v>91</v>
      </c>
      <c r="D29" s="1" t="s">
        <v>92</v>
      </c>
    </row>
    <row r="50">
      <c r="A50" s="1" t="s">
        <v>57</v>
      </c>
    </row>
    <row r="51">
      <c r="A51" s="1" t="s">
        <v>93</v>
      </c>
      <c r="B51" s="1">
        <v>45.584</v>
      </c>
    </row>
    <row r="52">
      <c r="A52" s="1" t="s">
        <v>94</v>
      </c>
      <c r="B52" s="1">
        <v>14.634</v>
      </c>
    </row>
    <row r="53">
      <c r="A53" s="1" t="s">
        <v>95</v>
      </c>
    </row>
    <row r="55">
      <c r="A55" s="2" t="s">
        <v>96</v>
      </c>
    </row>
    <row r="56">
      <c r="A56" s="1" t="s">
        <v>97</v>
      </c>
      <c r="B56" s="1" t="s">
        <v>98</v>
      </c>
      <c r="C56" s="1" t="s">
        <v>99</v>
      </c>
      <c r="D56" s="1" t="s">
        <v>100</v>
      </c>
      <c r="E56" s="1" t="s">
        <v>101</v>
      </c>
      <c r="F56" s="1" t="s">
        <v>102</v>
      </c>
      <c r="G56" s="1" t="s">
        <v>103</v>
      </c>
    </row>
    <row r="57">
      <c r="A57" s="1" t="s">
        <v>87</v>
      </c>
      <c r="B57" s="14" t="s">
        <v>104</v>
      </c>
      <c r="C57" s="1">
        <v>24.385</v>
      </c>
      <c r="D57" s="1" t="s">
        <v>105</v>
      </c>
      <c r="E57" s="1">
        <v>275.0</v>
      </c>
      <c r="F57" s="6">
        <f t="shared" ref="F57:F60" si="1">E57/C57</f>
        <v>11.27742465</v>
      </c>
      <c r="G57" s="1">
        <v>21.84</v>
      </c>
    </row>
    <row r="58">
      <c r="A58" s="1" t="s">
        <v>106</v>
      </c>
      <c r="B58" s="33" t="s">
        <v>107</v>
      </c>
      <c r="C58" s="1">
        <v>71.364</v>
      </c>
      <c r="D58" s="1" t="s">
        <v>108</v>
      </c>
      <c r="E58" s="1">
        <v>275.0</v>
      </c>
      <c r="F58" s="6">
        <f t="shared" si="1"/>
        <v>3.853483549</v>
      </c>
      <c r="G58" s="1">
        <v>15.34</v>
      </c>
    </row>
    <row r="59">
      <c r="A59" s="1" t="s">
        <v>109</v>
      </c>
      <c r="B59" s="34" t="s">
        <v>110</v>
      </c>
      <c r="C59" s="1">
        <v>47.197</v>
      </c>
      <c r="D59" s="1" t="s">
        <v>111</v>
      </c>
      <c r="E59" s="1">
        <v>275.0</v>
      </c>
      <c r="F59" s="6">
        <f t="shared" si="1"/>
        <v>5.826641524</v>
      </c>
      <c r="G59" s="1">
        <v>19.42</v>
      </c>
    </row>
    <row r="60">
      <c r="A60" s="1" t="s">
        <v>112</v>
      </c>
      <c r="B60" s="15" t="s">
        <v>113</v>
      </c>
      <c r="C60" s="1">
        <v>131.723</v>
      </c>
      <c r="D60" s="1" t="s">
        <v>111</v>
      </c>
      <c r="E60" s="1">
        <v>275.0</v>
      </c>
      <c r="F60" s="6">
        <f t="shared" si="1"/>
        <v>2.08771437</v>
      </c>
      <c r="G60" s="1">
        <v>15.6</v>
      </c>
    </row>
  </sheetData>
  <hyperlinks>
    <hyperlink r:id="rId1" ref="C5"/>
    <hyperlink r:id="rId2" ref="B57"/>
    <hyperlink r:id="rId3" ref="B58"/>
    <hyperlink r:id="rId4" ref="B60"/>
  </hyperlinks>
  <drawing r:id="rId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9.86"/>
  </cols>
  <sheetData>
    <row r="1">
      <c r="A1" s="1" t="s">
        <v>114</v>
      </c>
      <c r="B1" s="1" t="s">
        <v>106</v>
      </c>
      <c r="D1" s="1" t="s">
        <v>87</v>
      </c>
      <c r="L1" s="1" t="s">
        <v>115</v>
      </c>
    </row>
    <row r="2">
      <c r="L2" s="1">
        <v>1.0</v>
      </c>
      <c r="M2" s="35" t="s">
        <v>116</v>
      </c>
    </row>
    <row r="3">
      <c r="A3" s="2" t="s">
        <v>117</v>
      </c>
      <c r="B3" s="1">
        <v>2000.0</v>
      </c>
      <c r="D3" s="1">
        <v>2000.0</v>
      </c>
      <c r="L3" s="1">
        <v>2.0</v>
      </c>
      <c r="M3" s="12" t="s">
        <v>118</v>
      </c>
    </row>
    <row r="4">
      <c r="A4" s="2" t="s">
        <v>119</v>
      </c>
      <c r="B4" s="1">
        <v>0.0889</v>
      </c>
      <c r="D4" s="1">
        <v>0.06693</v>
      </c>
    </row>
    <row r="5">
      <c r="A5" s="2" t="s">
        <v>120</v>
      </c>
      <c r="B5" s="1">
        <v>0.0254</v>
      </c>
      <c r="D5" s="1">
        <v>0.01905</v>
      </c>
    </row>
    <row r="6">
      <c r="A6" s="2" t="s">
        <v>121</v>
      </c>
      <c r="B6" s="1">
        <v>0.00925</v>
      </c>
      <c r="D6" s="1">
        <v>0.00635</v>
      </c>
    </row>
    <row r="7">
      <c r="A7" s="2" t="s">
        <v>103</v>
      </c>
      <c r="B7" s="1">
        <v>9.41</v>
      </c>
      <c r="D7" s="1">
        <v>21.84</v>
      </c>
    </row>
    <row r="8">
      <c r="A8" s="2" t="s">
        <v>100</v>
      </c>
      <c r="B8" s="1" t="s">
        <v>122</v>
      </c>
      <c r="D8" s="1" t="s">
        <v>111</v>
      </c>
    </row>
    <row r="9">
      <c r="A9" s="2" t="s">
        <v>7</v>
      </c>
      <c r="B9" s="1">
        <v>200.0</v>
      </c>
      <c r="D9" s="1">
        <v>276.0</v>
      </c>
    </row>
    <row r="10">
      <c r="A10" s="3" t="s">
        <v>99</v>
      </c>
      <c r="B10" s="5">
        <f>((32*B3*((B4/2)-B5))/(9*PI()*B6^3))/10^6</f>
        <v>54.48254342</v>
      </c>
      <c r="D10" s="36">
        <f>((32*D3*((D4/2)-D5))/(9*PI()*D6^3))/10^6</f>
        <v>127.4327522</v>
      </c>
    </row>
    <row r="11">
      <c r="A11" s="3" t="s">
        <v>123</v>
      </c>
      <c r="B11" s="8">
        <f>B9/B10</f>
        <v>3.670900576</v>
      </c>
      <c r="D11" s="8">
        <f>D9/D10</f>
        <v>2.165848224</v>
      </c>
    </row>
    <row r="12">
      <c r="A12" s="3" t="s">
        <v>124</v>
      </c>
      <c r="B12" s="37" t="s">
        <v>125</v>
      </c>
      <c r="D12" s="38">
        <v>7000.0</v>
      </c>
    </row>
    <row r="14">
      <c r="A14" s="39" t="s">
        <v>126</v>
      </c>
    </row>
    <row r="24">
      <c r="F24" s="1" t="s">
        <v>127</v>
      </c>
    </row>
    <row r="40">
      <c r="C40" s="40"/>
    </row>
    <row r="41">
      <c r="C41" s="40"/>
    </row>
    <row r="55">
      <c r="C55" s="40"/>
    </row>
  </sheetData>
  <hyperlinks>
    <hyperlink r:id="rId1" ref="M2"/>
    <hyperlink r:id="rId2" ref="M3"/>
  </hyperlinks>
  <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6.86"/>
    <col customWidth="1" min="2" max="26" width="10.0"/>
  </cols>
  <sheetData>
    <row r="1" ht="13.5" customHeight="1"/>
    <row r="2" ht="13.5" customHeight="1">
      <c r="A2" s="28" t="s">
        <v>128</v>
      </c>
    </row>
    <row r="3" ht="13.5" customHeight="1">
      <c r="A3" s="27" t="s">
        <v>7</v>
      </c>
      <c r="B3" s="2">
        <v>240.0</v>
      </c>
    </row>
    <row r="4" ht="13.5" customHeight="1">
      <c r="A4" s="27" t="s">
        <v>51</v>
      </c>
      <c r="B4" s="1">
        <v>70.0</v>
      </c>
    </row>
    <row r="5" ht="13.5" customHeight="1">
      <c r="A5" s="27" t="s">
        <v>129</v>
      </c>
      <c r="B5" s="1">
        <v>12.5</v>
      </c>
    </row>
    <row r="6" ht="13.5" customHeight="1">
      <c r="A6" s="28"/>
      <c r="B6" s="17"/>
    </row>
    <row r="7" ht="13.5" customHeight="1">
      <c r="A7" s="28" t="s">
        <v>130</v>
      </c>
      <c r="B7" s="17"/>
    </row>
    <row r="8" ht="13.5" customHeight="1">
      <c r="A8" s="27" t="s">
        <v>131</v>
      </c>
      <c r="B8" s="27">
        <v>12.7</v>
      </c>
      <c r="C8" s="1" t="s">
        <v>132</v>
      </c>
    </row>
    <row r="9" ht="13.5" customHeight="1">
      <c r="A9" s="41" t="s">
        <v>57</v>
      </c>
      <c r="B9" s="42">
        <f>(16*B15*B5/1000/(PI()*(B8/1000)^3))/10^6</f>
        <v>62.15827532</v>
      </c>
    </row>
    <row r="10" ht="13.5" customHeight="1">
      <c r="A10" s="41" t="s">
        <v>133</v>
      </c>
      <c r="B10" s="25" t="str">
        <f>IF(B9&gt;B3, "YES", "NO")</f>
        <v>NO</v>
      </c>
    </row>
    <row r="11" ht="13.5" customHeight="1">
      <c r="A11" s="41" t="s">
        <v>102</v>
      </c>
      <c r="B11" s="43">
        <f>B3/B9</f>
        <v>3.861110991</v>
      </c>
    </row>
    <row r="12" ht="13.5" customHeight="1">
      <c r="A12" s="1" t="s">
        <v>58</v>
      </c>
      <c r="B12" s="44" t="s">
        <v>59</v>
      </c>
    </row>
    <row r="13" ht="13.5" customHeight="1">
      <c r="A13" s="28"/>
      <c r="B13" s="17"/>
    </row>
    <row r="14" ht="13.5" customHeight="1">
      <c r="A14" s="28" t="s">
        <v>134</v>
      </c>
      <c r="B14" s="17"/>
    </row>
    <row r="15" ht="13.5" customHeight="1">
      <c r="A15" s="1" t="s">
        <v>135</v>
      </c>
      <c r="B15" s="1">
        <v>2000.0</v>
      </c>
    </row>
    <row r="16" ht="13.5" customHeight="1">
      <c r="A16" s="41" t="s">
        <v>136</v>
      </c>
      <c r="B16" s="1">
        <v>20.0</v>
      </c>
    </row>
    <row r="17" ht="13.5" customHeight="1">
      <c r="A17" s="17"/>
    </row>
    <row r="18" ht="13.5" customHeight="1">
      <c r="A18" s="2" t="s">
        <v>137</v>
      </c>
    </row>
    <row r="19" ht="13.5" customHeight="1">
      <c r="A19" s="1" t="s">
        <v>138</v>
      </c>
      <c r="B19" s="45">
        <v>240.0</v>
      </c>
    </row>
    <row r="20" ht="13.5" customHeight="1">
      <c r="A20" s="41" t="s">
        <v>139</v>
      </c>
      <c r="B20" s="46">
        <f>(16*B16/(PI()*B19*10^6)^(1/3))</f>
        <v>0.351584408</v>
      </c>
    </row>
    <row r="21" ht="13.5" customHeight="1"/>
    <row r="22" ht="13.5" customHeight="1">
      <c r="A22" s="19" t="s">
        <v>68</v>
      </c>
    </row>
    <row r="23" ht="13.5" customHeight="1">
      <c r="A23" s="17" t="s">
        <v>69</v>
      </c>
    </row>
    <row r="24" ht="13.5" customHeight="1">
      <c r="A24" s="22" t="s">
        <v>70</v>
      </c>
      <c r="B24" s="19"/>
    </row>
    <row r="25" ht="13.5" customHeight="1">
      <c r="B25" s="17"/>
    </row>
    <row r="26" ht="13.5" customHeight="1">
      <c r="A26" s="1" t="s">
        <v>140</v>
      </c>
      <c r="B26" s="47"/>
      <c r="E26" s="19"/>
    </row>
    <row r="27" ht="13.5" customHeight="1">
      <c r="A27" s="48" t="s">
        <v>141</v>
      </c>
      <c r="B27" s="49"/>
    </row>
    <row r="28" ht="13.5" customHeight="1">
      <c r="A28" s="50" t="s">
        <v>142</v>
      </c>
      <c r="B28" s="51">
        <f>B15*B5^2/(3*B3*10^6)</f>
        <v>0.0004340277778</v>
      </c>
    </row>
    <row r="29" ht="13.5" customHeight="1">
      <c r="A29" s="50" t="s">
        <v>131</v>
      </c>
      <c r="B29" s="52">
        <f>(B28*64/PI())^(1/4)</f>
        <v>0.3066457195</v>
      </c>
    </row>
    <row r="30" ht="13.5" customHeight="1">
      <c r="A30" s="28"/>
      <c r="B30" s="17"/>
    </row>
    <row r="31" ht="13.5" customHeight="1">
      <c r="A31" s="48" t="s">
        <v>143</v>
      </c>
      <c r="B31" s="49"/>
    </row>
    <row r="32" ht="13.5" customHeight="1">
      <c r="A32" s="50" t="s">
        <v>144</v>
      </c>
      <c r="B32" s="53">
        <v>0.2</v>
      </c>
    </row>
    <row r="33" ht="13.5" customHeight="1">
      <c r="A33" s="53" t="s">
        <v>145</v>
      </c>
      <c r="B33" s="54">
        <f>(B15/2*(B5/1000)^3)/(3*B4*10^9*B32/1000)</f>
        <v>0</v>
      </c>
    </row>
    <row r="34" ht="13.5" customHeight="1">
      <c r="A34" s="53" t="s">
        <v>146</v>
      </c>
      <c r="B34" s="55">
        <f>(B33*64/PI())^(1/4)</f>
        <v>0.005547888351</v>
      </c>
    </row>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row r="1007" ht="13.5" customHeight="1"/>
    <row r="1008" ht="13.5" customHeight="1"/>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6.86"/>
    <col customWidth="1" min="2" max="2" width="11.14"/>
    <col customWidth="1" min="3" max="26" width="10.0"/>
  </cols>
  <sheetData>
    <row r="1" ht="13.5" customHeight="1"/>
    <row r="2" ht="13.5" customHeight="1">
      <c r="A2" s="28" t="s">
        <v>128</v>
      </c>
    </row>
    <row r="3" ht="13.5" customHeight="1">
      <c r="A3" s="27" t="s">
        <v>7</v>
      </c>
      <c r="B3" s="2">
        <v>240.0</v>
      </c>
    </row>
    <row r="4" ht="13.5" customHeight="1">
      <c r="A4" s="27" t="s">
        <v>129</v>
      </c>
      <c r="B4" s="1">
        <v>86.5</v>
      </c>
    </row>
    <row r="5" ht="13.5" customHeight="1">
      <c r="C5" s="20"/>
    </row>
    <row r="6" ht="13.5" customHeight="1">
      <c r="A6" s="2" t="s">
        <v>147</v>
      </c>
    </row>
    <row r="7" ht="13.5" customHeight="1">
      <c r="A7" s="1" t="s">
        <v>148</v>
      </c>
      <c r="B7" s="1">
        <f>B8/1000/2</f>
        <v>0.00794</v>
      </c>
    </row>
    <row r="8" ht="13.5" customHeight="1">
      <c r="A8" s="1" t="s">
        <v>149</v>
      </c>
      <c r="B8" s="56">
        <v>15.88</v>
      </c>
      <c r="C8" s="1" t="s">
        <v>150</v>
      </c>
    </row>
    <row r="9" ht="13.5" customHeight="1">
      <c r="A9" s="1" t="s">
        <v>57</v>
      </c>
      <c r="B9" s="21">
        <f>((B15*(B4/1000)*B7)/((4*PI()*B7^4)/4))/10^6</f>
        <v>110.0106481</v>
      </c>
    </row>
    <row r="10" ht="13.5" customHeight="1">
      <c r="A10" s="1" t="s">
        <v>151</v>
      </c>
      <c r="B10" s="57" t="str">
        <f>IF(B9&gt;B3, "YES", "NO")</f>
        <v>NO</v>
      </c>
    </row>
    <row r="11" ht="13.5" customHeight="1">
      <c r="A11" s="1" t="s">
        <v>102</v>
      </c>
      <c r="B11" s="21">
        <f>B3/B9</f>
        <v>2.181607001</v>
      </c>
      <c r="D11" s="1" t="s">
        <v>152</v>
      </c>
    </row>
    <row r="12" ht="13.5" customHeight="1">
      <c r="A12" s="1" t="s">
        <v>58</v>
      </c>
      <c r="B12" s="44" t="s">
        <v>59</v>
      </c>
    </row>
    <row r="13" ht="13.5" customHeight="1"/>
    <row r="14" ht="13.5" customHeight="1">
      <c r="A14" s="28" t="s">
        <v>134</v>
      </c>
      <c r="B14" s="17"/>
    </row>
    <row r="15" ht="13.5" customHeight="1">
      <c r="A15" s="1" t="s">
        <v>153</v>
      </c>
      <c r="B15" s="1">
        <v>2000.0</v>
      </c>
    </row>
    <row r="16" ht="13.5" customHeight="1"/>
    <row r="17" ht="13.5" customHeight="1">
      <c r="B17" s="19"/>
    </row>
    <row r="18" ht="13.5" customHeight="1">
      <c r="A18" s="19" t="s">
        <v>68</v>
      </c>
      <c r="B18" s="17"/>
    </row>
    <row r="19" ht="13.5" customHeight="1">
      <c r="A19" s="17" t="s">
        <v>69</v>
      </c>
      <c r="B19" s="47"/>
      <c r="E19" s="19"/>
    </row>
    <row r="20" ht="13.5" customHeight="1">
      <c r="A20" s="22" t="s">
        <v>70</v>
      </c>
      <c r="B20" s="30"/>
      <c r="C20" s="30"/>
    </row>
    <row r="21" ht="13.5" customHeight="1"/>
    <row r="22" ht="13.5" customHeight="1">
      <c r="A22" s="2" t="s">
        <v>140</v>
      </c>
    </row>
    <row r="23" ht="13.5" customHeight="1">
      <c r="A23" s="58" t="s">
        <v>141</v>
      </c>
      <c r="B23" s="59"/>
    </row>
    <row r="24" ht="13.5" customHeight="1">
      <c r="A24" s="50" t="s">
        <v>131</v>
      </c>
      <c r="B24" s="52">
        <f>(B25*64/PI())^(1/4)</f>
        <v>0.4033294723</v>
      </c>
    </row>
    <row r="25" ht="13.5" customHeight="1">
      <c r="A25" s="50" t="s">
        <v>142</v>
      </c>
      <c r="B25" s="51">
        <f>B15*B4^2/(48*B3*10^6)</f>
        <v>0.001299001736</v>
      </c>
    </row>
    <row r="26" ht="13.5" customHeight="1">
      <c r="A26" s="50" t="s">
        <v>154</v>
      </c>
      <c r="B26" s="60">
        <f>B4/2</f>
        <v>43.25</v>
      </c>
    </row>
    <row r="27" ht="13.5" customHeight="1">
      <c r="A27" s="19"/>
      <c r="B27" s="17"/>
    </row>
    <row r="28" ht="13.5" customHeight="1">
      <c r="A28" s="58" t="s">
        <v>143</v>
      </c>
      <c r="B28" s="59"/>
    </row>
    <row r="29" ht="13.5" customHeight="1">
      <c r="A29" s="61" t="s">
        <v>144</v>
      </c>
      <c r="B29" s="61">
        <v>0.2</v>
      </c>
    </row>
    <row r="30" ht="13.5" customHeight="1">
      <c r="A30" s="62" t="s">
        <v>155</v>
      </c>
      <c r="B30" s="55">
        <f>((4*B15*B4^3)/(PI()*B3*10^6*B29))^(1/4)</f>
        <v>2.420676755</v>
      </c>
    </row>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0.57"/>
    <col customWidth="1" min="2" max="2" width="18.0"/>
  </cols>
  <sheetData>
    <row r="1">
      <c r="A1" s="1" t="s">
        <v>156</v>
      </c>
      <c r="G1" s="1" t="s">
        <v>157</v>
      </c>
    </row>
    <row r="2">
      <c r="A2" s="2" t="s">
        <v>158</v>
      </c>
      <c r="B2" s="1">
        <v>2000.0</v>
      </c>
    </row>
    <row r="3">
      <c r="A3" s="2" t="s">
        <v>159</v>
      </c>
      <c r="B3" s="1">
        <v>0.694248</v>
      </c>
    </row>
    <row r="4">
      <c r="A4" s="2" t="s">
        <v>160</v>
      </c>
      <c r="B4" s="1">
        <f>0.030125</f>
        <v>0.030125</v>
      </c>
    </row>
    <row r="5">
      <c r="A5" s="2" t="s">
        <v>161</v>
      </c>
      <c r="B5" s="1">
        <v>0.01</v>
      </c>
    </row>
    <row r="6">
      <c r="A6" s="2" t="s">
        <v>162</v>
      </c>
      <c r="B6" s="1" t="s">
        <v>163</v>
      </c>
    </row>
    <row r="7">
      <c r="A7" s="2" t="s">
        <v>164</v>
      </c>
      <c r="B7" s="1">
        <v>276.0</v>
      </c>
    </row>
    <row r="9">
      <c r="A9" s="3" t="s">
        <v>165</v>
      </c>
      <c r="B9" s="6">
        <f>(B5*B4^3)/12</f>
        <v>0.0000000227824235</v>
      </c>
    </row>
    <row r="10">
      <c r="A10" s="1" t="s">
        <v>166</v>
      </c>
    </row>
    <row r="11">
      <c r="A11" s="3" t="s">
        <v>57</v>
      </c>
      <c r="B11" s="63">
        <f>((3*B2*B3)/(4*B5*B4^2))/10^6</f>
        <v>114.7497598</v>
      </c>
    </row>
    <row r="12">
      <c r="A12" s="3" t="s">
        <v>9</v>
      </c>
      <c r="B12" s="6">
        <f>B7/B11</f>
        <v>2.405233793</v>
      </c>
    </row>
    <row r="13">
      <c r="G13" s="1" t="s">
        <v>167</v>
      </c>
    </row>
    <row r="14">
      <c r="A14" s="1" t="s">
        <v>168</v>
      </c>
      <c r="B14" s="15" t="s">
        <v>169</v>
      </c>
    </row>
    <row r="15">
      <c r="A15" s="1" t="s">
        <v>170</v>
      </c>
      <c r="B15" s="38" t="s">
        <v>171</v>
      </c>
    </row>
    <row r="17">
      <c r="A17" s="1" t="s">
        <v>172</v>
      </c>
    </row>
    <row r="18">
      <c r="A18" s="3" t="s">
        <v>173</v>
      </c>
      <c r="B18" s="63">
        <f>((9*B2*B3)/(16*B5*B4^2))/10^6</f>
        <v>86.06231986</v>
      </c>
    </row>
    <row r="19">
      <c r="A19" s="3" t="s">
        <v>9</v>
      </c>
      <c r="B19" s="6">
        <f>B7/B18</f>
        <v>3.20697839</v>
      </c>
    </row>
    <row r="20">
      <c r="A20" s="1" t="s">
        <v>170</v>
      </c>
      <c r="B20" s="64" t="s">
        <v>171</v>
      </c>
      <c r="D20" s="1" t="s">
        <v>174</v>
      </c>
    </row>
    <row r="22">
      <c r="A22" s="1" t="s">
        <v>175</v>
      </c>
    </row>
    <row r="23">
      <c r="A23" s="1" t="s">
        <v>176</v>
      </c>
      <c r="B23" s="1">
        <v>27.445</v>
      </c>
      <c r="G23" s="1" t="s">
        <v>177</v>
      </c>
    </row>
    <row r="24">
      <c r="A24" s="1" t="s">
        <v>178</v>
      </c>
      <c r="B24" s="6">
        <f>PI()/4</f>
        <v>0.7853981634</v>
      </c>
    </row>
    <row r="25">
      <c r="A25" s="1" t="s">
        <v>179</v>
      </c>
      <c r="B25" s="6">
        <f>B23/(cos(B24))</f>
        <v>38.81309122</v>
      </c>
    </row>
    <row r="31">
      <c r="A31" s="1" t="s">
        <v>180</v>
      </c>
    </row>
  </sheetData>
  <hyperlinks>
    <hyperlink r:id="rId1" ref="B14"/>
  </hyperlin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2002-03-15T16:33:59Z</dcterms:created>
  <dc:creator>slocum</dc:creator>
</cp:coreProperties>
</file>